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/>
  <mc:AlternateContent xmlns:mc="http://schemas.openxmlformats.org/markup-compatibility/2006">
    <mc:Choice Requires="x15">
      <x15ac:absPath xmlns:x15ac="http://schemas.microsoft.com/office/spreadsheetml/2010/11/ac" url="C:\Users\dlymper\Desktop\2017CompetitionFilesFromCarlos\"/>
    </mc:Choice>
  </mc:AlternateContent>
  <bookViews>
    <workbookView xWindow="0" yWindow="0" windowWidth="17970" windowHeight="12180" tabRatio="470"/>
  </bookViews>
  <sheets>
    <sheet name="Team Results" sheetId="1" r:id="rId1"/>
  </sheets>
  <definedNames>
    <definedName name="Point1_X">'Team Results'!$B$3</definedName>
    <definedName name="Point1_Y">'Team Results'!$C$3</definedName>
    <definedName name="Point1_Z">'Team Results'!$D$3</definedName>
    <definedName name="Point10_X">'Team Results'!$AL$3</definedName>
    <definedName name="Point10_Y">'Team Results'!$AM$3</definedName>
    <definedName name="Point10_Z">'Team Results'!$AN$3</definedName>
    <definedName name="Point11_X">'Team Results'!$B$6</definedName>
    <definedName name="Point11_Y">'Team Results'!$C$6</definedName>
    <definedName name="Point11_Z">'Team Results'!$D$6</definedName>
    <definedName name="Point12_X">'Team Results'!$F$6</definedName>
    <definedName name="Point12_Y">'Team Results'!$G$6</definedName>
    <definedName name="Point12_Z">'Team Results'!$G$6</definedName>
    <definedName name="Point12_Zcorrect">'Team Results'!$H$6</definedName>
    <definedName name="Point13_X">'Team Results'!$J$6</definedName>
    <definedName name="Point13_Y">'Team Results'!$K$6</definedName>
    <definedName name="Point13_Z">'Team Results'!$L$6</definedName>
    <definedName name="Point14_X">'Team Results'!$N$6</definedName>
    <definedName name="Point14_Y">'Team Results'!$O$6</definedName>
    <definedName name="Point14_Z">'Team Results'!$P$6</definedName>
    <definedName name="Point15_X">'Team Results'!$R$6</definedName>
    <definedName name="Point15_Y">'Team Results'!$S$6</definedName>
    <definedName name="Point15_Z">'Team Results'!$T$6</definedName>
    <definedName name="Point16_X">'Team Results'!$V$6</definedName>
    <definedName name="Point16_Y">'Team Results'!$W$6</definedName>
    <definedName name="Point16_Z">'Team Results'!$X$6</definedName>
    <definedName name="Point17_X">'Team Results'!$Z$6</definedName>
    <definedName name="Point17_Y">'Team Results'!$AA$6</definedName>
    <definedName name="Point17_Z">'Team Results'!$AB$6</definedName>
    <definedName name="Point18_X">'Team Results'!$AD$6</definedName>
    <definedName name="Point18_Y">'Team Results'!$AE$6</definedName>
    <definedName name="Point18_Z">'Team Results'!$AF$6</definedName>
    <definedName name="Point19_X">'Team Results'!$AH$6</definedName>
    <definedName name="Point19_Y">'Team Results'!$AI$6</definedName>
    <definedName name="Point19_Z">'Team Results'!$AJ$6</definedName>
    <definedName name="Point2_X">'Team Results'!$F$3</definedName>
    <definedName name="Point2_Y">'Team Results'!$G$3</definedName>
    <definedName name="Point2_Z">'Team Results'!$H$3</definedName>
    <definedName name="Point20_X">'Team Results'!$AL$6</definedName>
    <definedName name="Point20_Y">'Team Results'!$AM$6</definedName>
    <definedName name="Point20_Z">'Team Results'!$AN$6</definedName>
    <definedName name="Point3_X">'Team Results'!$J$3</definedName>
    <definedName name="Point3_Y">'Team Results'!$K$3</definedName>
    <definedName name="Point3_Z">'Team Results'!$L$3</definedName>
    <definedName name="Point4_X">'Team Results'!$N$3</definedName>
    <definedName name="Point4_Y">'Team Results'!$O$3</definedName>
    <definedName name="Point4_Z">'Team Results'!$P$3</definedName>
    <definedName name="Point5_X">'Team Results'!$R$3</definedName>
    <definedName name="Point5_Y">'Team Results'!$S$3</definedName>
    <definedName name="Point5_Z">'Team Results'!$T$3</definedName>
    <definedName name="Point6_X">'Team Results'!$V$3</definedName>
    <definedName name="Point6_Y">'Team Results'!$W$3</definedName>
    <definedName name="Point6_Z">'Team Results'!$X$3</definedName>
    <definedName name="Point7_X">'Team Results'!$Z$3</definedName>
    <definedName name="Point7_Y">'Team Results'!$AA$3</definedName>
    <definedName name="Point7_Z">'Team Results'!$AB$3</definedName>
    <definedName name="Point8_X">'Team Results'!$AD$3</definedName>
    <definedName name="Point8_Y">'Team Results'!$AE$3</definedName>
    <definedName name="Point8_Z">'Team Results'!$AF$3</definedName>
    <definedName name="Point9_X">'Team Results'!$AH$3</definedName>
    <definedName name="Point9_Y">'Team Results'!$AI$3</definedName>
    <definedName name="Point9_Z">'Team Results'!$AJ$3</definedName>
  </definedNames>
  <calcPr calcId="171027" iterateDelta="1E-4"/>
</workbook>
</file>

<file path=xl/calcChain.xml><?xml version="1.0" encoding="utf-8"?>
<calcChain xmlns="http://schemas.openxmlformats.org/spreadsheetml/2006/main">
  <c r="X64" i="1" l="1"/>
  <c r="AA64" i="1"/>
  <c r="Z64" i="1"/>
  <c r="W64" i="1"/>
  <c r="V64" i="1"/>
  <c r="T64" i="1"/>
  <c r="S64" i="1"/>
  <c r="R64" i="1"/>
  <c r="P64" i="1"/>
  <c r="O64" i="1"/>
  <c r="N64" i="1"/>
  <c r="L64" i="1"/>
  <c r="K64" i="1"/>
  <c r="J64" i="1"/>
  <c r="H64" i="1"/>
  <c r="G64" i="1"/>
  <c r="F64" i="1"/>
  <c r="D64" i="1"/>
  <c r="C64" i="1"/>
  <c r="B64" i="1"/>
  <c r="P72" i="1" l="1"/>
  <c r="O72" i="1"/>
  <c r="N72" i="1"/>
  <c r="L72" i="1"/>
  <c r="K72" i="1"/>
  <c r="J72" i="1"/>
  <c r="H72" i="1"/>
  <c r="G72" i="1"/>
  <c r="F72" i="1"/>
  <c r="D72" i="1"/>
  <c r="C72" i="1"/>
  <c r="B72" i="1"/>
  <c r="AA40" i="1"/>
  <c r="Z40" i="1"/>
  <c r="X40" i="1"/>
  <c r="W40" i="1"/>
  <c r="V40" i="1"/>
  <c r="T40" i="1"/>
  <c r="S40" i="1"/>
  <c r="R40" i="1"/>
  <c r="P40" i="1"/>
  <c r="O40" i="1"/>
  <c r="N40" i="1"/>
  <c r="L40" i="1"/>
  <c r="K40" i="1"/>
  <c r="J40" i="1"/>
  <c r="H40" i="1"/>
  <c r="G40" i="1"/>
  <c r="F40" i="1"/>
  <c r="D40" i="1"/>
  <c r="C40" i="1"/>
  <c r="B40" i="1"/>
  <c r="AA32" i="1"/>
  <c r="Z32" i="1"/>
  <c r="X32" i="1"/>
  <c r="W32" i="1"/>
  <c r="V32" i="1"/>
  <c r="T32" i="1"/>
  <c r="S32" i="1"/>
  <c r="R32" i="1"/>
  <c r="L32" i="1"/>
  <c r="P32" i="1"/>
  <c r="O32" i="1"/>
  <c r="N32" i="1"/>
  <c r="K32" i="1"/>
  <c r="J32" i="1"/>
  <c r="H32" i="1"/>
  <c r="G32" i="1"/>
  <c r="F32" i="1"/>
  <c r="D32" i="1"/>
  <c r="C32" i="1"/>
  <c r="B32" i="1"/>
  <c r="AA16" i="1" l="1"/>
  <c r="Z16" i="1"/>
  <c r="X16" i="1"/>
  <c r="W16" i="1"/>
  <c r="V16" i="1"/>
  <c r="T16" i="1"/>
  <c r="S16" i="1"/>
  <c r="R16" i="1"/>
  <c r="P16" i="1"/>
  <c r="O16" i="1"/>
  <c r="N16" i="1"/>
  <c r="L16" i="1"/>
  <c r="K16" i="1"/>
  <c r="J16" i="1"/>
  <c r="H16" i="1"/>
  <c r="G16" i="1"/>
  <c r="F16" i="1"/>
  <c r="D16" i="1"/>
  <c r="C16" i="1"/>
  <c r="B16" i="1"/>
  <c r="AD40" i="1"/>
  <c r="AD32" i="1"/>
  <c r="AD16" i="1" l="1"/>
  <c r="AA164" i="1"/>
  <c r="Z164" i="1"/>
  <c r="X164" i="1"/>
  <c r="W164" i="1"/>
  <c r="V164" i="1"/>
  <c r="T164" i="1"/>
  <c r="S164" i="1"/>
  <c r="R164" i="1"/>
  <c r="P164" i="1"/>
  <c r="O164" i="1"/>
  <c r="N164" i="1"/>
  <c r="L164" i="1"/>
  <c r="K164" i="1"/>
  <c r="J164" i="1"/>
  <c r="H164" i="1"/>
  <c r="G164" i="1"/>
  <c r="F164" i="1"/>
  <c r="D164" i="1"/>
  <c r="C164" i="1"/>
  <c r="B164" i="1"/>
  <c r="AA156" i="1"/>
  <c r="Z156" i="1"/>
  <c r="X156" i="1"/>
  <c r="W156" i="1"/>
  <c r="V156" i="1"/>
  <c r="T156" i="1"/>
  <c r="S156" i="1"/>
  <c r="R156" i="1"/>
  <c r="P156" i="1"/>
  <c r="O156" i="1"/>
  <c r="N156" i="1"/>
  <c r="L156" i="1"/>
  <c r="K156" i="1"/>
  <c r="J156" i="1"/>
  <c r="H156" i="1"/>
  <c r="G156" i="1"/>
  <c r="F156" i="1"/>
  <c r="D156" i="1"/>
  <c r="C156" i="1"/>
  <c r="B156" i="1"/>
  <c r="AA148" i="1"/>
  <c r="Z148" i="1"/>
  <c r="X148" i="1"/>
  <c r="W148" i="1"/>
  <c r="V148" i="1"/>
  <c r="T148" i="1"/>
  <c r="S148" i="1"/>
  <c r="R148" i="1"/>
  <c r="P148" i="1"/>
  <c r="O148" i="1"/>
  <c r="N148" i="1"/>
  <c r="L148" i="1"/>
  <c r="K148" i="1"/>
  <c r="J148" i="1"/>
  <c r="H148" i="1"/>
  <c r="G148" i="1"/>
  <c r="F148" i="1"/>
  <c r="D148" i="1"/>
  <c r="C148" i="1"/>
  <c r="B148" i="1"/>
  <c r="AA140" i="1"/>
  <c r="Z140" i="1"/>
  <c r="X140" i="1"/>
  <c r="W140" i="1"/>
  <c r="V140" i="1"/>
  <c r="T140" i="1"/>
  <c r="S140" i="1"/>
  <c r="R140" i="1"/>
  <c r="P140" i="1"/>
  <c r="O140" i="1"/>
  <c r="N140" i="1"/>
  <c r="L140" i="1"/>
  <c r="K140" i="1"/>
  <c r="J140" i="1"/>
  <c r="H140" i="1"/>
  <c r="G140" i="1"/>
  <c r="F140" i="1"/>
  <c r="D140" i="1"/>
  <c r="C140" i="1"/>
  <c r="B140" i="1"/>
  <c r="AA132" i="1"/>
  <c r="Z132" i="1"/>
  <c r="X132" i="1"/>
  <c r="W132" i="1"/>
  <c r="V132" i="1"/>
  <c r="T132" i="1"/>
  <c r="S132" i="1"/>
  <c r="R132" i="1"/>
  <c r="P132" i="1"/>
  <c r="O132" i="1"/>
  <c r="N132" i="1"/>
  <c r="L132" i="1"/>
  <c r="K132" i="1"/>
  <c r="J132" i="1"/>
  <c r="H132" i="1"/>
  <c r="G132" i="1"/>
  <c r="F132" i="1"/>
  <c r="D132" i="1"/>
  <c r="C132" i="1"/>
  <c r="B132" i="1"/>
  <c r="AA124" i="1"/>
  <c r="Z124" i="1"/>
  <c r="X124" i="1"/>
  <c r="W124" i="1"/>
  <c r="V124" i="1"/>
  <c r="T124" i="1"/>
  <c r="S124" i="1"/>
  <c r="R124" i="1"/>
  <c r="P124" i="1"/>
  <c r="O124" i="1"/>
  <c r="N124" i="1"/>
  <c r="L124" i="1"/>
  <c r="K124" i="1"/>
  <c r="J124" i="1"/>
  <c r="H124" i="1"/>
  <c r="G124" i="1"/>
  <c r="F124" i="1"/>
  <c r="D124" i="1"/>
  <c r="C124" i="1"/>
  <c r="B124" i="1"/>
  <c r="AA116" i="1"/>
  <c r="Z116" i="1"/>
  <c r="X116" i="1"/>
  <c r="W116" i="1"/>
  <c r="V116" i="1"/>
  <c r="T116" i="1"/>
  <c r="S116" i="1"/>
  <c r="R116" i="1"/>
  <c r="P116" i="1"/>
  <c r="O116" i="1"/>
  <c r="N116" i="1"/>
  <c r="L116" i="1"/>
  <c r="K116" i="1"/>
  <c r="J116" i="1"/>
  <c r="H116" i="1"/>
  <c r="G116" i="1"/>
  <c r="F116" i="1"/>
  <c r="D116" i="1"/>
  <c r="C116" i="1"/>
  <c r="B116" i="1"/>
  <c r="AA108" i="1"/>
  <c r="Z108" i="1"/>
  <c r="X108" i="1"/>
  <c r="W108" i="1"/>
  <c r="V108" i="1"/>
  <c r="T108" i="1"/>
  <c r="S108" i="1"/>
  <c r="R108" i="1"/>
  <c r="P108" i="1"/>
  <c r="O108" i="1"/>
  <c r="N108" i="1"/>
  <c r="L108" i="1"/>
  <c r="K108" i="1"/>
  <c r="J108" i="1"/>
  <c r="H108" i="1"/>
  <c r="G108" i="1"/>
  <c r="F108" i="1"/>
  <c r="D108" i="1"/>
  <c r="C108" i="1"/>
  <c r="B108" i="1"/>
  <c r="AA100" i="1"/>
  <c r="Z100" i="1"/>
  <c r="X100" i="1"/>
  <c r="W100" i="1"/>
  <c r="V100" i="1"/>
  <c r="T100" i="1"/>
  <c r="S100" i="1"/>
  <c r="R100" i="1"/>
  <c r="P100" i="1"/>
  <c r="O100" i="1"/>
  <c r="N100" i="1"/>
  <c r="L100" i="1"/>
  <c r="K100" i="1"/>
  <c r="J100" i="1"/>
  <c r="H100" i="1"/>
  <c r="G100" i="1"/>
  <c r="F100" i="1"/>
  <c r="D100" i="1"/>
  <c r="C100" i="1"/>
  <c r="B100" i="1"/>
  <c r="AA88" i="1"/>
  <c r="Z88" i="1"/>
  <c r="X88" i="1"/>
  <c r="W88" i="1"/>
  <c r="V88" i="1"/>
  <c r="T88" i="1"/>
  <c r="S88" i="1"/>
  <c r="R88" i="1"/>
  <c r="P88" i="1"/>
  <c r="O88" i="1"/>
  <c r="N88" i="1"/>
  <c r="L88" i="1"/>
  <c r="K88" i="1"/>
  <c r="J88" i="1"/>
  <c r="H88" i="1"/>
  <c r="G88" i="1"/>
  <c r="F88" i="1"/>
  <c r="D88" i="1"/>
  <c r="C88" i="1"/>
  <c r="B88" i="1"/>
  <c r="AA80" i="1"/>
  <c r="Z80" i="1"/>
  <c r="X80" i="1"/>
  <c r="W80" i="1"/>
  <c r="V80" i="1"/>
  <c r="T80" i="1"/>
  <c r="S80" i="1"/>
  <c r="R80" i="1"/>
  <c r="P80" i="1"/>
  <c r="O80" i="1"/>
  <c r="N80" i="1"/>
  <c r="L80" i="1"/>
  <c r="K80" i="1"/>
  <c r="J80" i="1"/>
  <c r="H80" i="1"/>
  <c r="G80" i="1"/>
  <c r="F80" i="1"/>
  <c r="D80" i="1"/>
  <c r="C80" i="1"/>
  <c r="B80" i="1"/>
  <c r="AA72" i="1"/>
  <c r="Z72" i="1"/>
  <c r="X72" i="1"/>
  <c r="W72" i="1"/>
  <c r="V72" i="1"/>
  <c r="T72" i="1"/>
  <c r="S72" i="1"/>
  <c r="R72" i="1"/>
  <c r="AA56" i="1"/>
  <c r="Z56" i="1"/>
  <c r="X56" i="1"/>
  <c r="W56" i="1"/>
  <c r="V56" i="1"/>
  <c r="T56" i="1"/>
  <c r="S56" i="1"/>
  <c r="R56" i="1"/>
  <c r="P56" i="1"/>
  <c r="O56" i="1"/>
  <c r="N56" i="1"/>
  <c r="L56" i="1"/>
  <c r="K56" i="1"/>
  <c r="J56" i="1"/>
  <c r="H56" i="1"/>
  <c r="G56" i="1"/>
  <c r="F56" i="1"/>
  <c r="D56" i="1"/>
  <c r="C56" i="1"/>
  <c r="B56" i="1"/>
  <c r="AA48" i="1"/>
  <c r="Z48" i="1"/>
  <c r="X48" i="1"/>
  <c r="W48" i="1"/>
  <c r="V48" i="1"/>
  <c r="T48" i="1"/>
  <c r="S48" i="1"/>
  <c r="R48" i="1"/>
  <c r="P48" i="1"/>
  <c r="O48" i="1"/>
  <c r="N48" i="1"/>
  <c r="L48" i="1"/>
  <c r="K48" i="1"/>
  <c r="J48" i="1"/>
  <c r="H48" i="1"/>
  <c r="G48" i="1"/>
  <c r="F48" i="1"/>
  <c r="D48" i="1"/>
  <c r="C48" i="1"/>
  <c r="B48" i="1"/>
  <c r="AA24" i="1"/>
  <c r="Z24" i="1"/>
  <c r="X24" i="1"/>
  <c r="W24" i="1"/>
  <c r="V24" i="1"/>
  <c r="T24" i="1"/>
  <c r="S24" i="1"/>
  <c r="R24" i="1"/>
  <c r="P24" i="1"/>
  <c r="O24" i="1"/>
  <c r="N24" i="1"/>
  <c r="L24" i="1"/>
  <c r="K24" i="1"/>
  <c r="J24" i="1"/>
  <c r="H24" i="1"/>
  <c r="G24" i="1"/>
  <c r="F24" i="1"/>
  <c r="D24" i="1"/>
  <c r="C24" i="1"/>
  <c r="B24" i="1"/>
  <c r="AD100" i="1" l="1"/>
  <c r="AD116" i="1"/>
  <c r="AD132" i="1"/>
  <c r="AD148" i="1"/>
  <c r="AD164" i="1"/>
  <c r="AD56" i="1"/>
  <c r="AD108" i="1"/>
  <c r="AD124" i="1"/>
  <c r="AD140" i="1"/>
  <c r="AD156" i="1"/>
  <c r="AD64" i="1"/>
  <c r="AD48" i="1"/>
  <c r="AD24" i="1"/>
  <c r="AD88" i="1"/>
  <c r="AD80" i="1"/>
  <c r="AD72" i="1"/>
  <c r="AE24" i="1"/>
  <c r="AE72" i="1"/>
  <c r="AE88" i="1"/>
  <c r="AE108" i="1"/>
  <c r="AE124" i="1"/>
  <c r="AE140" i="1"/>
  <c r="AE156" i="1"/>
  <c r="AE48" i="1"/>
  <c r="AE64" i="1"/>
  <c r="AE80" i="1"/>
  <c r="AE100" i="1"/>
  <c r="AE116" i="1"/>
  <c r="AE132" i="1"/>
  <c r="AE148" i="1"/>
  <c r="AE32" i="1"/>
  <c r="AE16" i="1"/>
  <c r="AE164" i="1"/>
  <c r="AE40" i="1"/>
  <c r="AE56" i="1"/>
</calcChain>
</file>

<file path=xl/sharedStrings.xml><?xml version="1.0" encoding="utf-8"?>
<sst xmlns="http://schemas.openxmlformats.org/spreadsheetml/2006/main" count="454" uniqueCount="47">
  <si>
    <t>Team</t>
  </si>
  <si>
    <t>X</t>
  </si>
  <si>
    <t>Y</t>
  </si>
  <si>
    <t>Z</t>
  </si>
  <si>
    <t>Ground Truth</t>
  </si>
  <si>
    <t>Point 1</t>
  </si>
  <si>
    <t>Point 2</t>
  </si>
  <si>
    <t>Point 3</t>
  </si>
  <si>
    <t>Point 4</t>
  </si>
  <si>
    <t>Point 5</t>
  </si>
  <si>
    <t>Point 6</t>
  </si>
  <si>
    <t>Point 7</t>
  </si>
  <si>
    <t>Point 8</t>
  </si>
  <si>
    <t>Point 9</t>
  </si>
  <si>
    <t>Point 10</t>
  </si>
  <si>
    <t>Point 11</t>
  </si>
  <si>
    <t>Point 12</t>
  </si>
  <si>
    <t>Point 13</t>
  </si>
  <si>
    <t>Point 14</t>
  </si>
  <si>
    <t>Point 15</t>
  </si>
  <si>
    <t>Point 16</t>
  </si>
  <si>
    <t>Point 17</t>
  </si>
  <si>
    <t>Point 18</t>
  </si>
  <si>
    <t>Point 19</t>
  </si>
  <si>
    <t>Point 20</t>
  </si>
  <si>
    <t>3D LOCALIZATION TEAMS</t>
  </si>
  <si>
    <t>Chen et al.: KAUST Acoustic offset: 0m</t>
  </si>
  <si>
    <t>Cheng et al.: Kiwii     offset:0m</t>
  </si>
  <si>
    <t>Xia et al.: M2Robots     offset:0m</t>
  </si>
  <si>
    <t>Hemamali et al.: TrakRay   offset:0m</t>
  </si>
  <si>
    <t>Snyder et al.: Astrobotics    offset:0m</t>
  </si>
  <si>
    <t>Zhang et al.: Kaarta            offset:0m</t>
  </si>
  <si>
    <t>Quantitec / Intranav           offset:0m</t>
  </si>
  <si>
    <t>2D LOCALIZATION TEAMS</t>
  </si>
  <si>
    <t>Sadhu et al.: CollabLoc</t>
  </si>
  <si>
    <t>Castro et al.: Portugal</t>
  </si>
  <si>
    <t>Castro et al.: Portugal (Multiple Devices)</t>
  </si>
  <si>
    <t>Ju et al.: Seoul National University (Init)</t>
  </si>
  <si>
    <t>Li et al.: McMaster (Init)</t>
  </si>
  <si>
    <t>Kikuchi et al.: Iwate University</t>
  </si>
  <si>
    <t>Kikuchi: 5 nodes</t>
  </si>
  <si>
    <t>Ben-Moshe et al.: Ariel University</t>
  </si>
  <si>
    <t>Wu et al.: Glodon</t>
  </si>
  <si>
    <t>Su et al.: National Taiwan University of Science and Technology</t>
  </si>
  <si>
    <t>Wang et al.: McMaster offset: 1.91m</t>
  </si>
  <si>
    <t>Acton et al.: ARIN Tech. offset: 1.2m (7 nodes)</t>
  </si>
  <si>
    <t>Beuchat et al.: UWB offset:1.6m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</si>
</sst>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3F3F76"/>
      <name val="Calibri"/>
      <family val="2"/>
      <charset val="1"/>
    </font>
    <font>
      <sz val="11"/>
      <color rgb="FF3F3F76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99"/>
        <bgColor rgb="FFFFD966"/>
      </patternFill>
    </fill>
    <fill>
      <patternFill patternType="solid">
        <fgColor rgb="FF9DC3E6"/>
        <bgColor rgb="FFA9D18E"/>
      </patternFill>
    </fill>
    <fill>
      <patternFill patternType="solid">
        <fgColor rgb="FFFFD966"/>
        <bgColor rgb="FFFFCC99"/>
      </patternFill>
    </fill>
    <fill>
      <patternFill patternType="solid">
        <fgColor rgb="FFA9D18E"/>
        <bgColor rgb="FF9DC3E6"/>
      </patternFill>
    </fill>
    <fill>
      <patternFill patternType="solid">
        <fgColor rgb="FF00FF00"/>
        <bgColor rgb="FF66FF33"/>
      </patternFill>
    </fill>
    <fill>
      <patternFill patternType="solid">
        <fgColor rgb="FF66FF33"/>
        <bgColor rgb="FF00FF00"/>
      </patternFill>
    </fill>
    <fill>
      <patternFill patternType="solid">
        <fgColor rgb="FFD9D9D9"/>
        <bgColor rgb="FFCCFFCC"/>
      </patternFill>
    </fill>
    <fill>
      <patternFill patternType="solid">
        <fgColor rgb="FFFF0000"/>
        <bgColor rgb="FF993300"/>
      </patternFill>
    </fill>
    <fill>
      <patternFill patternType="solid">
        <fgColor rgb="FF00B0F0"/>
        <bgColor rgb="FF33CCFF"/>
      </patternFill>
    </fill>
    <fill>
      <patternFill patternType="solid">
        <fgColor rgb="FF33CCFF"/>
        <bgColor rgb="FF00B0F0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2" borderId="1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3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164" fontId="0" fillId="8" borderId="2" xfId="0" applyNumberFormat="1" applyFill="1" applyBorder="1"/>
    <xf numFmtId="164" fontId="0" fillId="8" borderId="3" xfId="0" applyNumberFormat="1" applyFill="1" applyBorder="1"/>
    <xf numFmtId="164" fontId="0" fillId="8" borderId="4" xfId="0" applyNumberFormat="1" applyFill="1" applyBorder="1"/>
    <xf numFmtId="164" fontId="1" fillId="9" borderId="0" xfId="0" applyNumberFormat="1" applyFont="1" applyFill="1"/>
    <xf numFmtId="164" fontId="0" fillId="10" borderId="0" xfId="0" applyNumberFormat="1" applyFill="1"/>
    <xf numFmtId="0" fontId="6" fillId="0" borderId="0" xfId="0" applyFont="1"/>
    <xf numFmtId="0" fontId="0" fillId="0" borderId="0" xfId="0"/>
    <xf numFmtId="164" fontId="0" fillId="3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0" fontId="0" fillId="0" borderId="0" xfId="0"/>
    <xf numFmtId="164" fontId="0" fillId="3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0" fontId="2" fillId="2" borderId="1" xfId="1" applyFont="1" applyBorder="1" applyAlignment="1" applyProtection="1">
      <alignment horizontal="center"/>
    </xf>
    <xf numFmtId="0" fontId="5" fillId="11" borderId="0" xfId="0" applyFont="1" applyFill="1" applyBorder="1" applyAlignment="1"/>
    <xf numFmtId="0" fontId="4" fillId="11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wrapText="1"/>
    </xf>
    <xf numFmtId="0" fontId="4" fillId="6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D966"/>
      <rgbColor rgb="FF9DC3E6"/>
      <rgbColor rgb="FFFF99CC"/>
      <rgbColor rgb="FFCC99FF"/>
      <rgbColor rgb="FFFFCC99"/>
      <rgbColor rgb="FF3366FF"/>
      <rgbColor rgb="FF33CCFF"/>
      <rgbColor rgb="FF66FF3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F3F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0"/>
  <sheetViews>
    <sheetView tabSelected="1" zoomScale="70" zoomScaleNormal="70" workbookViewId="0">
      <selection activeCell="B62" sqref="B62:AN62"/>
    </sheetView>
  </sheetViews>
  <sheetFormatPr defaultColWidth="9" defaultRowHeight="15" x14ac:dyDescent="0.25"/>
  <cols>
    <col min="1" max="1" width="27.85546875"/>
    <col min="2" max="4" width="6.7109375"/>
    <col min="5" max="5" width="3.7109375"/>
    <col min="6" max="8" width="6.7109375"/>
    <col min="9" max="9" width="3.7109375"/>
    <col min="10" max="12" width="6.7109375"/>
    <col min="13" max="13" width="3.7109375"/>
    <col min="14" max="16" width="6.7109375"/>
    <col min="17" max="17" width="3.7109375"/>
    <col min="18" max="20" width="6.7109375"/>
    <col min="21" max="21" width="3.7109375"/>
    <col min="22" max="24" width="6.7109375"/>
    <col min="25" max="25" width="3.7109375"/>
    <col min="26" max="28" width="6.7109375"/>
    <col min="29" max="29" width="3.7109375"/>
    <col min="30" max="32" width="6.7109375"/>
    <col min="33" max="33" width="3.7109375"/>
    <col min="34" max="36" width="6.7109375"/>
    <col min="37" max="37" width="3.7109375"/>
    <col min="38" max="40" width="6.7109375"/>
    <col min="41" max="1025" width="8.5703125"/>
  </cols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F1" s="1" t="s">
        <v>1</v>
      </c>
      <c r="G1" s="1" t="s">
        <v>2</v>
      </c>
      <c r="H1" s="1" t="s">
        <v>3</v>
      </c>
      <c r="J1" s="1" t="s">
        <v>1</v>
      </c>
      <c r="K1" s="1" t="s">
        <v>2</v>
      </c>
      <c r="L1" s="1" t="s">
        <v>3</v>
      </c>
      <c r="N1" s="1" t="s">
        <v>1</v>
      </c>
      <c r="O1" s="1" t="s">
        <v>2</v>
      </c>
      <c r="P1" s="1" t="s">
        <v>3</v>
      </c>
      <c r="R1" s="1" t="s">
        <v>1</v>
      </c>
      <c r="S1" s="1" t="s">
        <v>2</v>
      </c>
      <c r="T1" s="1" t="s">
        <v>3</v>
      </c>
      <c r="V1" s="1" t="s">
        <v>1</v>
      </c>
      <c r="W1" s="1" t="s">
        <v>2</v>
      </c>
      <c r="X1" s="1" t="s">
        <v>3</v>
      </c>
      <c r="Z1" s="1" t="s">
        <v>1</v>
      </c>
      <c r="AA1" s="1" t="s">
        <v>2</v>
      </c>
      <c r="AB1" s="1" t="s">
        <v>3</v>
      </c>
      <c r="AD1" s="1" t="s">
        <v>1</v>
      </c>
      <c r="AE1" s="1" t="s">
        <v>2</v>
      </c>
      <c r="AF1" s="1" t="s">
        <v>3</v>
      </c>
      <c r="AH1" s="1" t="s">
        <v>1</v>
      </c>
      <c r="AI1" s="1" t="s">
        <v>2</v>
      </c>
      <c r="AJ1" s="1" t="s">
        <v>3</v>
      </c>
      <c r="AL1" s="1" t="s">
        <v>1</v>
      </c>
      <c r="AM1" s="1" t="s">
        <v>2</v>
      </c>
      <c r="AN1" s="1" t="s">
        <v>3</v>
      </c>
    </row>
    <row r="2" spans="1:40" ht="15.75" x14ac:dyDescent="0.25">
      <c r="A2" s="25" t="s">
        <v>4</v>
      </c>
      <c r="B2" s="20" t="s">
        <v>5</v>
      </c>
      <c r="C2" s="20"/>
      <c r="D2" s="20"/>
      <c r="E2" s="2"/>
      <c r="F2" s="20" t="s">
        <v>6</v>
      </c>
      <c r="G2" s="20"/>
      <c r="H2" s="20"/>
      <c r="I2" s="2"/>
      <c r="J2" s="20" t="s">
        <v>7</v>
      </c>
      <c r="K2" s="20"/>
      <c r="L2" s="20"/>
      <c r="M2" s="2"/>
      <c r="N2" s="20" t="s">
        <v>8</v>
      </c>
      <c r="O2" s="20"/>
      <c r="P2" s="20"/>
      <c r="Q2" s="2"/>
      <c r="R2" s="20" t="s">
        <v>9</v>
      </c>
      <c r="S2" s="20"/>
      <c r="T2" s="20"/>
      <c r="U2" s="2"/>
      <c r="V2" s="20" t="s">
        <v>10</v>
      </c>
      <c r="W2" s="20"/>
      <c r="X2" s="20"/>
      <c r="Y2" s="2"/>
      <c r="Z2" s="20" t="s">
        <v>11</v>
      </c>
      <c r="AA2" s="20"/>
      <c r="AB2" s="20"/>
      <c r="AC2" s="2"/>
      <c r="AD2" s="20" t="s">
        <v>12</v>
      </c>
      <c r="AE2" s="20"/>
      <c r="AF2" s="20"/>
      <c r="AG2" s="2"/>
      <c r="AH2" s="20" t="s">
        <v>13</v>
      </c>
      <c r="AI2" s="20"/>
      <c r="AJ2" s="20"/>
      <c r="AK2" s="2"/>
      <c r="AL2" s="20" t="s">
        <v>14</v>
      </c>
      <c r="AM2" s="20"/>
      <c r="AN2" s="20"/>
    </row>
    <row r="3" spans="1:40" x14ac:dyDescent="0.25">
      <c r="A3" s="25"/>
      <c r="B3">
        <v>3.7170000000000001</v>
      </c>
      <c r="C3">
        <v>2.3809999999999998</v>
      </c>
      <c r="D3">
        <v>4.0000000000000001E-3</v>
      </c>
      <c r="F3">
        <v>2.6640000000000001</v>
      </c>
      <c r="G3">
        <v>7.9210000000000003</v>
      </c>
      <c r="H3">
        <v>8.0000000000000002E-3</v>
      </c>
      <c r="J3">
        <v>6.5979999999999999</v>
      </c>
      <c r="K3">
        <v>8.6989999999999998</v>
      </c>
      <c r="L3">
        <v>1.4E-2</v>
      </c>
      <c r="N3">
        <v>13.581</v>
      </c>
      <c r="O3">
        <v>5.53</v>
      </c>
      <c r="P3">
        <v>1.9E-2</v>
      </c>
      <c r="R3">
        <v>14.635999999999999</v>
      </c>
      <c r="S3">
        <v>9.9710000000000001</v>
      </c>
      <c r="T3">
        <v>1.4E-2</v>
      </c>
      <c r="V3">
        <v>9.7880000000000003</v>
      </c>
      <c r="W3" s="11">
        <v>12.284000000000001</v>
      </c>
      <c r="X3">
        <v>1.4E-2</v>
      </c>
      <c r="Z3" s="11">
        <v>5.3819999999999997</v>
      </c>
      <c r="AA3">
        <v>14.085000000000001</v>
      </c>
      <c r="AB3">
        <v>-4.0000000000000001E-3</v>
      </c>
      <c r="AD3">
        <v>4.4640000000000004</v>
      </c>
      <c r="AE3">
        <v>18.478000000000002</v>
      </c>
      <c r="AF3">
        <v>-1.2E-2</v>
      </c>
      <c r="AH3">
        <v>7.6260000000000003</v>
      </c>
      <c r="AI3">
        <v>18.401</v>
      </c>
      <c r="AJ3">
        <v>1.3340000000000001</v>
      </c>
      <c r="AL3">
        <v>11.723000000000001</v>
      </c>
      <c r="AM3">
        <v>18.321999999999999</v>
      </c>
      <c r="AN3">
        <v>3.0230000000000001</v>
      </c>
    </row>
    <row r="4" spans="1:40" x14ac:dyDescent="0.25">
      <c r="A4" s="25"/>
    </row>
    <row r="5" spans="1:40" ht="15.75" x14ac:dyDescent="0.25">
      <c r="A5" s="25"/>
      <c r="B5" s="20" t="s">
        <v>15</v>
      </c>
      <c r="C5" s="20"/>
      <c r="D5" s="20"/>
      <c r="E5" s="2"/>
      <c r="F5" s="20" t="s">
        <v>16</v>
      </c>
      <c r="G5" s="20"/>
      <c r="H5" s="20"/>
      <c r="I5" s="2"/>
      <c r="J5" s="20" t="s">
        <v>17</v>
      </c>
      <c r="K5" s="20"/>
      <c r="L5" s="20"/>
      <c r="M5" s="2"/>
      <c r="N5" s="20" t="s">
        <v>18</v>
      </c>
      <c r="O5" s="20"/>
      <c r="P5" s="20"/>
      <c r="Q5" s="2"/>
      <c r="R5" s="20" t="s">
        <v>19</v>
      </c>
      <c r="S5" s="20"/>
      <c r="T5" s="20"/>
      <c r="U5" s="2"/>
      <c r="V5" s="20" t="s">
        <v>20</v>
      </c>
      <c r="W5" s="20"/>
      <c r="X5" s="20"/>
      <c r="Y5" s="2"/>
      <c r="Z5" s="20" t="s">
        <v>21</v>
      </c>
      <c r="AA5" s="20"/>
      <c r="AB5" s="20"/>
      <c r="AC5" s="2"/>
      <c r="AD5" s="20" t="s">
        <v>22</v>
      </c>
      <c r="AE5" s="20"/>
      <c r="AF5" s="20"/>
      <c r="AG5" s="2"/>
      <c r="AH5" s="20" t="s">
        <v>23</v>
      </c>
      <c r="AI5" s="20"/>
      <c r="AJ5" s="20"/>
      <c r="AK5" s="2"/>
      <c r="AL5" s="20" t="s">
        <v>24</v>
      </c>
      <c r="AM5" s="20"/>
      <c r="AN5" s="20"/>
    </row>
    <row r="6" spans="1:40" x14ac:dyDescent="0.25">
      <c r="A6" s="25"/>
      <c r="B6">
        <v>13.537000000000001</v>
      </c>
      <c r="C6">
        <v>18.486000000000001</v>
      </c>
      <c r="D6">
        <v>4.0439999999999996</v>
      </c>
      <c r="F6">
        <v>15.577</v>
      </c>
      <c r="G6">
        <v>18.456</v>
      </c>
      <c r="H6">
        <v>5.2380000000000004</v>
      </c>
      <c r="J6">
        <v>17.623999999999999</v>
      </c>
      <c r="K6">
        <v>18.573</v>
      </c>
      <c r="L6">
        <v>6.0949999999999998</v>
      </c>
      <c r="N6">
        <v>22.946000000000002</v>
      </c>
      <c r="O6">
        <v>19.155000000000001</v>
      </c>
      <c r="P6">
        <v>6.1079999999999997</v>
      </c>
      <c r="R6">
        <v>28.710999999999999</v>
      </c>
      <c r="S6">
        <v>20.052</v>
      </c>
      <c r="T6">
        <v>6.1289999999999996</v>
      </c>
      <c r="V6">
        <v>26.731000000000002</v>
      </c>
      <c r="W6">
        <v>16.706</v>
      </c>
      <c r="X6">
        <v>6.109</v>
      </c>
      <c r="Z6">
        <v>31.442</v>
      </c>
      <c r="AA6">
        <v>15.458</v>
      </c>
      <c r="AB6">
        <v>6.109</v>
      </c>
      <c r="AD6">
        <v>23.536999999999999</v>
      </c>
      <c r="AE6">
        <v>9.8550000000000004</v>
      </c>
      <c r="AF6">
        <v>6.0970000000000004</v>
      </c>
      <c r="AH6">
        <v>17.596</v>
      </c>
      <c r="AI6">
        <v>8.9429999999999996</v>
      </c>
      <c r="AJ6">
        <v>6.1070000000000002</v>
      </c>
      <c r="AL6">
        <v>18.376999999999999</v>
      </c>
      <c r="AM6">
        <v>13.561</v>
      </c>
      <c r="AN6">
        <v>6.0979999999999999</v>
      </c>
    </row>
    <row r="7" spans="1:40" ht="30" customHeight="1" x14ac:dyDescent="0.25">
      <c r="A7" s="1"/>
    </row>
    <row r="8" spans="1:40" ht="30" customHeight="1" x14ac:dyDescent="0.3">
      <c r="A8" s="1"/>
      <c r="B8" s="24" t="s">
        <v>25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</row>
    <row r="9" spans="1:40" ht="30" customHeight="1" x14ac:dyDescent="0.25">
      <c r="A9" s="1"/>
      <c r="B9">
        <v>1.91</v>
      </c>
    </row>
    <row r="10" spans="1:40" ht="15.75" customHeight="1" x14ac:dyDescent="0.25">
      <c r="A10" s="23" t="s">
        <v>44</v>
      </c>
      <c r="B10" s="20" t="s">
        <v>5</v>
      </c>
      <c r="C10" s="20"/>
      <c r="D10" s="20"/>
      <c r="E10" s="2"/>
      <c r="F10" s="20" t="s">
        <v>6</v>
      </c>
      <c r="G10" s="20"/>
      <c r="H10" s="20"/>
      <c r="I10" s="2"/>
      <c r="J10" s="20" t="s">
        <v>7</v>
      </c>
      <c r="K10" s="20"/>
      <c r="L10" s="20"/>
      <c r="M10" s="2"/>
      <c r="N10" s="20" t="s">
        <v>8</v>
      </c>
      <c r="O10" s="20"/>
      <c r="P10" s="20"/>
      <c r="Q10" s="2"/>
      <c r="R10" s="20" t="s">
        <v>9</v>
      </c>
      <c r="S10" s="20"/>
      <c r="T10" s="20"/>
      <c r="U10" s="2"/>
      <c r="V10" s="20" t="s">
        <v>10</v>
      </c>
      <c r="W10" s="20"/>
      <c r="X10" s="20"/>
      <c r="Y10" s="2"/>
      <c r="Z10" s="20" t="s">
        <v>11</v>
      </c>
      <c r="AA10" s="20"/>
      <c r="AB10" s="20"/>
      <c r="AC10" s="2"/>
      <c r="AD10" s="20" t="s">
        <v>12</v>
      </c>
      <c r="AE10" s="20"/>
      <c r="AF10" s="20"/>
      <c r="AG10" s="2"/>
      <c r="AH10" s="20" t="s">
        <v>13</v>
      </c>
      <c r="AI10" s="20"/>
      <c r="AJ10" s="20"/>
      <c r="AK10" s="2"/>
      <c r="AL10" s="20" t="s">
        <v>14</v>
      </c>
      <c r="AM10" s="20"/>
      <c r="AN10" s="20"/>
    </row>
    <row r="11" spans="1:40" x14ac:dyDescent="0.25">
      <c r="A11" s="23"/>
      <c r="B11" s="3">
        <v>1.1100000000000001</v>
      </c>
      <c r="C11" s="4">
        <v>3.63</v>
      </c>
      <c r="D11" s="5">
        <v>4.34</v>
      </c>
      <c r="F11" s="3">
        <v>15</v>
      </c>
      <c r="G11" s="4">
        <v>10</v>
      </c>
      <c r="H11" s="5">
        <v>3</v>
      </c>
      <c r="J11" s="3">
        <v>5.33</v>
      </c>
      <c r="K11" s="4">
        <v>8.93</v>
      </c>
      <c r="L11" s="5">
        <v>2.69</v>
      </c>
      <c r="N11" s="3">
        <v>13.33</v>
      </c>
      <c r="O11" s="4">
        <v>5.62</v>
      </c>
      <c r="P11" s="5">
        <v>0.3</v>
      </c>
      <c r="R11" s="3">
        <v>14.07</v>
      </c>
      <c r="S11" s="4">
        <v>9.77</v>
      </c>
      <c r="T11" s="5">
        <v>2.69</v>
      </c>
      <c r="V11" s="3">
        <v>12.51</v>
      </c>
      <c r="W11" s="4">
        <v>10.69</v>
      </c>
      <c r="X11" s="5">
        <v>2.41</v>
      </c>
      <c r="Z11" s="3">
        <v>4.91</v>
      </c>
      <c r="AA11" s="4">
        <v>14.2</v>
      </c>
      <c r="AB11" s="5">
        <v>6.16</v>
      </c>
      <c r="AD11" s="3">
        <v>15</v>
      </c>
      <c r="AE11" s="4">
        <v>10</v>
      </c>
      <c r="AF11" s="5">
        <v>3</v>
      </c>
      <c r="AH11" s="3">
        <v>15</v>
      </c>
      <c r="AI11" s="4">
        <v>10</v>
      </c>
      <c r="AJ11" s="5">
        <v>3</v>
      </c>
      <c r="AL11" s="3">
        <v>15</v>
      </c>
      <c r="AM11" s="4">
        <v>10</v>
      </c>
      <c r="AN11" s="5">
        <v>3</v>
      </c>
    </row>
    <row r="12" spans="1:40" ht="9.9499999999999993" customHeight="1" x14ac:dyDescent="0.25">
      <c r="A12" s="23"/>
    </row>
    <row r="13" spans="1:40" ht="15.75" x14ac:dyDescent="0.25">
      <c r="A13" s="23"/>
      <c r="B13" s="20" t="s">
        <v>15</v>
      </c>
      <c r="C13" s="20"/>
      <c r="D13" s="20"/>
      <c r="E13" s="2"/>
      <c r="F13" s="20" t="s">
        <v>16</v>
      </c>
      <c r="G13" s="20"/>
      <c r="H13" s="20"/>
      <c r="I13" s="2"/>
      <c r="J13" s="20" t="s">
        <v>17</v>
      </c>
      <c r="K13" s="20"/>
      <c r="L13" s="20"/>
      <c r="M13" s="2"/>
      <c r="N13" s="20" t="s">
        <v>18</v>
      </c>
      <c r="O13" s="20"/>
      <c r="P13" s="20"/>
      <c r="Q13" s="2"/>
      <c r="R13" s="20" t="s">
        <v>19</v>
      </c>
      <c r="S13" s="20"/>
      <c r="T13" s="20"/>
      <c r="U13" s="2"/>
      <c r="V13" s="20" t="s">
        <v>20</v>
      </c>
      <c r="W13" s="20"/>
      <c r="X13" s="20"/>
      <c r="Y13" s="2"/>
      <c r="Z13" s="20" t="s">
        <v>21</v>
      </c>
      <c r="AA13" s="20"/>
      <c r="AB13" s="20"/>
      <c r="AC13" s="2"/>
      <c r="AD13" s="20" t="s">
        <v>22</v>
      </c>
      <c r="AE13" s="20"/>
      <c r="AF13" s="20"/>
      <c r="AG13" s="2"/>
      <c r="AH13" s="20" t="s">
        <v>23</v>
      </c>
      <c r="AI13" s="20"/>
      <c r="AJ13" s="20"/>
      <c r="AK13" s="2"/>
      <c r="AL13" s="20" t="s">
        <v>24</v>
      </c>
      <c r="AM13" s="20"/>
      <c r="AN13" s="20"/>
    </row>
    <row r="14" spans="1:40" x14ac:dyDescent="0.25">
      <c r="A14" s="23"/>
      <c r="B14" s="3">
        <v>15</v>
      </c>
      <c r="C14" s="4">
        <v>10</v>
      </c>
      <c r="D14" s="5">
        <v>3</v>
      </c>
      <c r="F14" s="3">
        <v>13.19</v>
      </c>
      <c r="G14" s="4">
        <v>19.96</v>
      </c>
      <c r="H14" s="5">
        <v>0.3</v>
      </c>
      <c r="J14" s="3">
        <v>16.649999999999999</v>
      </c>
      <c r="K14" s="4">
        <v>18.89</v>
      </c>
      <c r="L14" s="5">
        <v>8</v>
      </c>
      <c r="N14" s="3">
        <v>21.98</v>
      </c>
      <c r="O14" s="4">
        <v>2.25</v>
      </c>
      <c r="P14" s="5">
        <v>3.7</v>
      </c>
      <c r="R14" s="3">
        <v>28.45</v>
      </c>
      <c r="S14" s="4">
        <v>20.2</v>
      </c>
      <c r="T14" s="5">
        <v>8.1</v>
      </c>
      <c r="V14" s="3">
        <v>26.3</v>
      </c>
      <c r="W14" s="4">
        <v>17.05</v>
      </c>
      <c r="X14" s="5">
        <v>8.1</v>
      </c>
      <c r="Z14" s="3">
        <v>32.770000000000003</v>
      </c>
      <c r="AA14" s="4">
        <v>14.85</v>
      </c>
      <c r="AB14" s="5">
        <v>7.84</v>
      </c>
      <c r="AD14" s="3">
        <v>22.75</v>
      </c>
      <c r="AE14" s="4">
        <v>5.82</v>
      </c>
      <c r="AF14" s="5">
        <v>0.3</v>
      </c>
      <c r="AH14" s="3">
        <v>16.760000000000002</v>
      </c>
      <c r="AI14" s="4">
        <v>8.1199999999999992</v>
      </c>
      <c r="AJ14" s="5">
        <v>8.1</v>
      </c>
      <c r="AL14" s="3">
        <v>7.2</v>
      </c>
      <c r="AM14" s="4">
        <v>1.36</v>
      </c>
      <c r="AN14" s="5">
        <v>8.1</v>
      </c>
    </row>
    <row r="15" spans="1:40" ht="9.9499999999999993" customHeight="1" x14ac:dyDescent="0.25">
      <c r="A15" s="23"/>
    </row>
    <row r="16" spans="1:40" x14ac:dyDescent="0.25">
      <c r="A16" s="23"/>
      <c r="B16" s="6">
        <f>SQRT(POWER((B11 - Point1_X),2) + POWER((C11 - Point1_Y),2) + POWER((D11 - B9 - Point1_Z),2))</f>
        <v>3.7738476386838937</v>
      </c>
      <c r="C16" s="7">
        <f>SQRT(POWER((F11 - Point2_X),2) + POWER((G11 - Point2_Y),2) + POWER((H11  - B9- Point2_Z),2))</f>
        <v>12.556665998584178</v>
      </c>
      <c r="D16" s="8">
        <f>SQRT(POWER((J11 - Point3_X),2) + POWER((K11 - Point3_Y),2) + POWER((L11 - B9 - Point3_Z),2))</f>
        <v>1.4993135095769663</v>
      </c>
      <c r="F16" s="6">
        <f>SQRT(POWER((N11 - Point4_X),2) + POWER((O11 - Point4_Y),2) + POWER((P11 - B9 - Point4_Z),2))</f>
        <v>1.6506792541254036</v>
      </c>
      <c r="G16" s="7">
        <f>SQRT(POWER((R11 - Point5_X),2) + POWER((S11 - Point5_Y),2) + POWER((T11  - B9- Point5_Z),2))</f>
        <v>0.9734027943251442</v>
      </c>
      <c r="H16" s="8">
        <f>SQRT(POWER((V11 - Point6_X),2) + POWER((W11 - Point6_Y),2) + POWER((X11  - B9- Point6_Z),2))</f>
        <v>3.1916008522370087</v>
      </c>
      <c r="J16" s="6">
        <f>SQRT(POWER((Z11 - Point7_X),2) + POWER((AA11 - Point7_Y),2) + POWER((AB11 - B9 - Point7_Z),2))</f>
        <v>4.2816497988509052</v>
      </c>
      <c r="K16" s="7">
        <f>SQRT(POWER((AD11 - Point8_X),2) + POWER((AE11 - Point8_Y),2) + POWER((AF11  - B9- Point8_Z),2))</f>
        <v>13.568278593837908</v>
      </c>
      <c r="L16" s="8">
        <f>SQRT(POWER((AH11 - Point9_X),2) + POWER((AI11 - Point9_Y),2) + POWER((AJ11  - B9- Point9_Z),2))</f>
        <v>11.180886056122743</v>
      </c>
      <c r="N16" s="6">
        <f>SQRT(POWER((AL11 - Point10_X),2) + POWER((AM11 - Point10_Y),2) + POWER((AN11 - B9 - Point10_Z),2))</f>
        <v>9.1504591141647094</v>
      </c>
      <c r="O16" s="7">
        <f>SQRT(POWER((B14 - Point11_X),2) + POWER((C14 - Point11_Y),2) + POWER((D14  - B9- Point11_Z),2))</f>
        <v>9.1037728991885558</v>
      </c>
      <c r="P16" s="8">
        <f>SQRT(POWER((F14 - Point12_X),2) + POWER((G14 - Point12_Y),2) + POWER((H14 - B9 - Point12_Zcorrect),2))</f>
        <v>7.4064086438705239</v>
      </c>
      <c r="R16" s="6">
        <f>SQRT(POWER((J14 - Point13_X),2) + POWER((K14 - Point13_Y),2) + POWER((L14  - B9- Point13_Z),2))</f>
        <v>1.0242997608122344</v>
      </c>
      <c r="S16" s="7">
        <f>SQRT(POWER((N14 - Point14_X),2) + POWER((O14 - Point14_Y),2) + POWER((P14 - B9 - Point14_Z),2))</f>
        <v>17.474475814741915</v>
      </c>
      <c r="T16" s="8">
        <f>SQRT(POWER((R14 - Point15_X),2) + POWER((S14 - Point15_Y),2) + POWER((T14  - B9- Point15_Z),2))</f>
        <v>0.30617968580557314</v>
      </c>
      <c r="V16" s="6">
        <f>SQRT(POWER((V14 - Point16_X),2) + POWER((W14 - Point16_Y),2) + POWER((X14  - B9- Point16_Z),2))</f>
        <v>0.55736702450001607</v>
      </c>
      <c r="W16" s="7">
        <f>SQRT(POWER((Z14 - Point17_X),2) + POWER((AA14 - Point17_Y),2) + POWER((AB14  - B9- Point17_Z),2))</f>
        <v>1.4714920998768592</v>
      </c>
      <c r="X16" s="8">
        <f>SQRT(POWER((AD14 - Point18_X),2) + POWER((AE14 - Point18_Y),2) + POWER((AF14 - B9 - Point18_Z),2))</f>
        <v>8.7348979959699591</v>
      </c>
      <c r="Z16" s="6">
        <f>SQRT(POWER((AH14 - Point19_X),2) + POWER((AI14 - Point19_Y),2) + POWER((AJ14  - B9- Point19_Z),2))</f>
        <v>1.1760586720057797</v>
      </c>
      <c r="AA16" s="8">
        <f>SQRT(POWER((AL14 - Point20_X),2) + POWER((AM14 - Point20_Y),2) + POWER((AN14  - B9- Point20_Z),2))</f>
        <v>16.54684846126295</v>
      </c>
      <c r="AD16" s="9">
        <f>AVERAGE(B16:AA16)</f>
        <v>6.2814292334271622</v>
      </c>
      <c r="AE16" s="10">
        <f>_xlfn.STDEV.P(B16:T16)</f>
        <v>5.255615539845552</v>
      </c>
    </row>
    <row r="17" spans="1:40" ht="30" customHeight="1" x14ac:dyDescent="0.25">
      <c r="A17" s="1"/>
    </row>
    <row r="18" spans="1:40" ht="15.75" customHeight="1" x14ac:dyDescent="0.25">
      <c r="A18" s="23" t="s">
        <v>26</v>
      </c>
      <c r="B18" s="20" t="s">
        <v>5</v>
      </c>
      <c r="C18" s="20"/>
      <c r="D18" s="20"/>
      <c r="E18" s="2"/>
      <c r="F18" s="20" t="s">
        <v>6</v>
      </c>
      <c r="G18" s="20"/>
      <c r="H18" s="20"/>
      <c r="I18" s="2"/>
      <c r="J18" s="20" t="s">
        <v>7</v>
      </c>
      <c r="K18" s="20"/>
      <c r="L18" s="20"/>
      <c r="M18" s="2"/>
      <c r="N18" s="20" t="s">
        <v>8</v>
      </c>
      <c r="O18" s="20"/>
      <c r="P18" s="20"/>
      <c r="Q18" s="2"/>
      <c r="R18" s="20" t="s">
        <v>9</v>
      </c>
      <c r="S18" s="20"/>
      <c r="T18" s="20"/>
      <c r="U18" s="2"/>
      <c r="V18" s="20" t="s">
        <v>10</v>
      </c>
      <c r="W18" s="20"/>
      <c r="X18" s="20"/>
      <c r="Y18" s="2"/>
      <c r="Z18" s="20" t="s">
        <v>11</v>
      </c>
      <c r="AA18" s="20"/>
      <c r="AB18" s="20"/>
      <c r="AC18" s="2"/>
      <c r="AD18" s="20" t="s">
        <v>12</v>
      </c>
      <c r="AE18" s="20"/>
      <c r="AF18" s="20"/>
      <c r="AG18" s="2"/>
      <c r="AH18" s="20" t="s">
        <v>13</v>
      </c>
      <c r="AI18" s="20"/>
      <c r="AJ18" s="20"/>
      <c r="AK18" s="2"/>
      <c r="AL18" s="20" t="s">
        <v>14</v>
      </c>
      <c r="AM18" s="20"/>
      <c r="AN18" s="20"/>
    </row>
    <row r="19" spans="1:40" x14ac:dyDescent="0.25">
      <c r="A19" s="23"/>
      <c r="B19" s="13">
        <v>3.73</v>
      </c>
      <c r="C19" s="14">
        <v>2.37</v>
      </c>
      <c r="D19" s="15">
        <v>0.04</v>
      </c>
      <c r="E19" s="12"/>
      <c r="F19" s="13">
        <v>2.61</v>
      </c>
      <c r="G19" s="14">
        <v>7.91</v>
      </c>
      <c r="H19" s="15">
        <v>0.01</v>
      </c>
      <c r="I19" s="12"/>
      <c r="J19" s="13">
        <v>6.55</v>
      </c>
      <c r="K19" s="14">
        <v>8.66</v>
      </c>
      <c r="L19" s="15">
        <v>0.01</v>
      </c>
      <c r="M19" s="12"/>
      <c r="N19" s="13">
        <v>11.46</v>
      </c>
      <c r="O19" s="14">
        <v>2.27</v>
      </c>
      <c r="P19" s="15">
        <v>0.01</v>
      </c>
      <c r="Q19" s="12"/>
      <c r="R19" s="13">
        <v>13.48</v>
      </c>
      <c r="S19" s="14">
        <v>8.2899999999999991</v>
      </c>
      <c r="T19" s="15">
        <v>0.06</v>
      </c>
      <c r="U19" s="12"/>
      <c r="V19" s="13">
        <v>0</v>
      </c>
      <c r="W19" s="14">
        <v>16</v>
      </c>
      <c r="X19" s="15">
        <v>0.01</v>
      </c>
      <c r="Y19" s="12"/>
      <c r="Z19" s="13">
        <v>15.4</v>
      </c>
      <c r="AA19" s="14">
        <v>16</v>
      </c>
      <c r="AB19" s="15">
        <v>0.01</v>
      </c>
      <c r="AC19" s="12"/>
      <c r="AD19" s="13">
        <v>4.37</v>
      </c>
      <c r="AE19" s="14">
        <v>18.45</v>
      </c>
      <c r="AF19" s="15">
        <v>0.06</v>
      </c>
      <c r="AG19" s="12"/>
      <c r="AH19" s="13">
        <v>7.54</v>
      </c>
      <c r="AI19" s="14">
        <v>18.309999999999999</v>
      </c>
      <c r="AJ19" s="15">
        <v>1.1100000000000001</v>
      </c>
      <c r="AK19" s="12"/>
      <c r="AL19" s="13">
        <v>14</v>
      </c>
      <c r="AM19" s="14">
        <v>19.12</v>
      </c>
      <c r="AN19" s="15">
        <v>4.53</v>
      </c>
    </row>
    <row r="20" spans="1:40" ht="9.9499999999999993" customHeight="1" x14ac:dyDescent="0.25">
      <c r="A20" s="23"/>
    </row>
    <row r="21" spans="1:40" ht="15.75" x14ac:dyDescent="0.25">
      <c r="A21" s="23"/>
      <c r="B21" s="20" t="s">
        <v>15</v>
      </c>
      <c r="C21" s="20"/>
      <c r="D21" s="20"/>
      <c r="E21" s="2"/>
      <c r="F21" s="20" t="s">
        <v>16</v>
      </c>
      <c r="G21" s="20"/>
      <c r="H21" s="20"/>
      <c r="I21" s="2"/>
      <c r="J21" s="20" t="s">
        <v>17</v>
      </c>
      <c r="K21" s="20"/>
      <c r="L21" s="20"/>
      <c r="M21" s="2"/>
      <c r="N21" s="20" t="s">
        <v>18</v>
      </c>
      <c r="O21" s="20"/>
      <c r="P21" s="20"/>
      <c r="Q21" s="2"/>
      <c r="R21" s="20" t="s">
        <v>19</v>
      </c>
      <c r="S21" s="20"/>
      <c r="T21" s="20"/>
      <c r="U21" s="2"/>
      <c r="V21" s="20" t="s">
        <v>20</v>
      </c>
      <c r="W21" s="20"/>
      <c r="X21" s="20"/>
      <c r="Y21" s="2"/>
      <c r="Z21" s="20" t="s">
        <v>21</v>
      </c>
      <c r="AA21" s="20"/>
      <c r="AB21" s="20"/>
      <c r="AC21" s="2"/>
      <c r="AD21" s="20" t="s">
        <v>22</v>
      </c>
      <c r="AE21" s="20"/>
      <c r="AF21" s="20"/>
      <c r="AG21" s="2"/>
      <c r="AH21" s="20" t="s">
        <v>23</v>
      </c>
      <c r="AI21" s="20"/>
      <c r="AJ21" s="20"/>
      <c r="AK21" s="2"/>
      <c r="AL21" s="20" t="s">
        <v>24</v>
      </c>
      <c r="AM21" s="20"/>
      <c r="AN21" s="20"/>
    </row>
    <row r="22" spans="1:40" x14ac:dyDescent="0.25">
      <c r="A22" s="23"/>
      <c r="B22" s="17">
        <v>7.29</v>
      </c>
      <c r="C22" s="18">
        <v>18.93</v>
      </c>
      <c r="D22" s="19">
        <v>1.5</v>
      </c>
      <c r="E22" s="16"/>
      <c r="F22" s="17">
        <v>15.58</v>
      </c>
      <c r="G22" s="18">
        <v>18.43</v>
      </c>
      <c r="H22" s="19">
        <v>5.2</v>
      </c>
      <c r="I22" s="16"/>
      <c r="J22" s="17">
        <v>16.5</v>
      </c>
      <c r="K22" s="18">
        <v>19</v>
      </c>
      <c r="L22" s="19">
        <v>6.16</v>
      </c>
      <c r="M22" s="16"/>
      <c r="N22" s="17">
        <v>20.85</v>
      </c>
      <c r="O22" s="18">
        <v>22</v>
      </c>
      <c r="P22" s="19">
        <v>6.16</v>
      </c>
      <c r="Q22" s="16"/>
      <c r="R22" s="17">
        <v>32</v>
      </c>
      <c r="S22" s="18">
        <v>18.73</v>
      </c>
      <c r="T22" s="19">
        <v>6.11</v>
      </c>
      <c r="U22" s="16"/>
      <c r="V22" s="17">
        <v>27.96</v>
      </c>
      <c r="W22" s="18">
        <v>14.95</v>
      </c>
      <c r="X22" s="19">
        <v>6.16</v>
      </c>
      <c r="Y22" s="16"/>
      <c r="Z22" s="17">
        <v>31.5</v>
      </c>
      <c r="AA22" s="18">
        <v>15.31</v>
      </c>
      <c r="AB22" s="19">
        <v>6.16</v>
      </c>
      <c r="AC22" s="16"/>
      <c r="AD22" s="17">
        <v>23.8</v>
      </c>
      <c r="AE22" s="18">
        <v>11.65</v>
      </c>
      <c r="AF22" s="19">
        <v>6.11</v>
      </c>
      <c r="AG22" s="16"/>
      <c r="AH22" s="17">
        <v>19.239999999999998</v>
      </c>
      <c r="AI22" s="18">
        <v>8.98</v>
      </c>
      <c r="AJ22" s="19">
        <v>6.11</v>
      </c>
      <c r="AK22" s="16"/>
      <c r="AL22" s="17">
        <v>19.11</v>
      </c>
      <c r="AM22" s="18">
        <v>13.43</v>
      </c>
      <c r="AN22" s="19">
        <v>6.16</v>
      </c>
    </row>
    <row r="23" spans="1:40" ht="9.9499999999999993" customHeight="1" x14ac:dyDescent="0.25">
      <c r="A23" s="23"/>
    </row>
    <row r="24" spans="1:40" x14ac:dyDescent="0.25">
      <c r="A24" s="23"/>
      <c r="B24" s="6">
        <f>SQRT(POWER((B19 - Point1_X),2) + POWER((C19 - Point1_Y),2) + POWER((D19 - Point1_Z),2))</f>
        <v>3.9824615503479634E-2</v>
      </c>
      <c r="C24" s="7">
        <f>SQRT(POWER((F19 - Point2_X),2) + POWER((G19 - Point2_Y),2) + POWER((H19 - Point2_Z),2))</f>
        <v>5.5145262715849235E-2</v>
      </c>
      <c r="D24" s="8">
        <f>SQRT(POWER((J19 - Point3_X),2) + POWER((K19 - Point3_Y),2) + POWER((L19 - Point3_Z),2))</f>
        <v>6.1975801729384515E-2</v>
      </c>
      <c r="F24" s="6">
        <f>SQRT(POWER((N19 - Point4_X),2) + POWER((O19 - Point4_Y),2) + POWER((P19 - Point4_Z),2))</f>
        <v>3.8892572555694995</v>
      </c>
      <c r="G24" s="7">
        <f>SQRT(POWER((R19 - Point5_X),2) + POWER((S19 - Point5_Y),2) + POWER((T19 - Point5_Z),2))</f>
        <v>2.0406403406774061</v>
      </c>
      <c r="H24" s="8">
        <f>SQRT(POWER((V19 - Point6_X),2) + POWER((W19 - Point6_Y),2) + POWER((X19 - Point6_Z),2))</f>
        <v>10.469652143218513</v>
      </c>
      <c r="J24" s="6">
        <f>SQRT(POWER((Z19 - Point7_X),2) + POWER((AA19 - Point7_Y),2) + POWER((AB19 - Point7_Z),2))</f>
        <v>10.199399247014505</v>
      </c>
      <c r="K24" s="7">
        <f>SQRT(POWER((AD19 - Point8_X),2) + POWER((AE19 - Point8_Y),2) + POWER((AF19 - Point8_Z),2))</f>
        <v>0.1216716893940418</v>
      </c>
      <c r="L24" s="8">
        <f>SQRT(POWER((AH19 - Point9_X),2) + POWER((AI19 - Point9_Y),2) + POWER((AJ19 - Point9_Z),2))</f>
        <v>0.25661839372889905</v>
      </c>
      <c r="N24" s="6">
        <f>SQRT(POWER((AL19 - Point10_X),2) + POWER((AM19 - Point10_Y),2) + POWER((AN19 - Point10_Z),2))</f>
        <v>2.8447463858839859</v>
      </c>
      <c r="O24" s="7">
        <f>SQRT(POWER((B22 - Point11_X),2) + POWER((C22 - Point11_Y),2) + POWER((D22 - Point11_Z),2))</f>
        <v>6.7597397139239028</v>
      </c>
      <c r="P24" s="8">
        <f>SQRT(POWER((F22 - Point12_X),2) + POWER((G22 - Point12_Y),2) + POWER((H22 - Point12_Zcorrect),2))</f>
        <v>4.6141087980237416E-2</v>
      </c>
      <c r="R24" s="6">
        <f>SQRT(POWER((J22 - Point13_X),2) + POWER((K22 - Point13_Y),2) + POWER((L22 - Point13_Z),2))</f>
        <v>1.2041303916104755</v>
      </c>
      <c r="S24" s="7">
        <f>SQRT(POWER((N22 - Point14_X),2) + POWER((O22 - Point14_Y),2) + POWER((P22 - Point14_Z),2))</f>
        <v>3.5341116281181604</v>
      </c>
      <c r="T24" s="8">
        <f>SQRT(POWER((R22 - Point15_X),2) + POWER((S22 - Point15_Y),2) + POWER((T22 - Point15_Z),2))</f>
        <v>3.5447942112342723</v>
      </c>
      <c r="V24" s="6">
        <f>SQRT(POWER((V22 - Point16_X),2) + POWER((W22 - Point16_Y),2) + POWER((X22 - Point16_Z),2))</f>
        <v>2.1439631526684404</v>
      </c>
      <c r="W24" s="7">
        <f>SQRT(POWER((Z22 - Point17_X),2) + POWER((AA22 - Point17_Y),2) + POWER((AB22 - Point17_Z),2))</f>
        <v>0.16694010902116935</v>
      </c>
      <c r="X24" s="8">
        <f>SQRT(POWER((AD22 - Point18_X),2) + POWER((AE22 - Point18_Y),2) + POWER((AF22 - Point18_Z),2))</f>
        <v>1.81421139892792</v>
      </c>
      <c r="Z24" s="6">
        <f>SQRT(POWER((AH22 - Point19_X),2) + POWER((AI22 - Point19_Y),2) + POWER((AJ22 - Point19_Z),2))</f>
        <v>1.6444190463504107</v>
      </c>
      <c r="AA24" s="8">
        <f>SQRT(POWER((AL22 - Point20_X),2) + POWER((AM22 - Point20_Y),2) + POWER((AN22 - Point20_Z),2))</f>
        <v>0.74719073870063524</v>
      </c>
      <c r="AD24" s="9">
        <f>AVERAGE(B24:AA24)</f>
        <v>2.5792286306985597</v>
      </c>
      <c r="AE24" s="10">
        <f>_xlfn.STDEV.P(B24:T24)</f>
        <v>3.4439111302760428</v>
      </c>
    </row>
    <row r="25" spans="1:40" ht="30" customHeight="1" x14ac:dyDescent="0.25">
      <c r="A25" s="1"/>
      <c r="B25">
        <v>1.2</v>
      </c>
    </row>
    <row r="26" spans="1:40" ht="15.75" customHeight="1" x14ac:dyDescent="0.25">
      <c r="A26" s="23" t="s">
        <v>45</v>
      </c>
      <c r="B26" s="20" t="s">
        <v>5</v>
      </c>
      <c r="C26" s="20"/>
      <c r="D26" s="20"/>
      <c r="E26" s="2"/>
      <c r="F26" s="20" t="s">
        <v>6</v>
      </c>
      <c r="G26" s="20"/>
      <c r="H26" s="20"/>
      <c r="I26" s="2"/>
      <c r="J26" s="20" t="s">
        <v>7</v>
      </c>
      <c r="K26" s="20"/>
      <c r="L26" s="20"/>
      <c r="M26" s="2"/>
      <c r="N26" s="20" t="s">
        <v>8</v>
      </c>
      <c r="O26" s="20"/>
      <c r="P26" s="20"/>
      <c r="Q26" s="2"/>
      <c r="R26" s="20" t="s">
        <v>9</v>
      </c>
      <c r="S26" s="20"/>
      <c r="T26" s="20"/>
      <c r="U26" s="2"/>
      <c r="V26" s="20" t="s">
        <v>10</v>
      </c>
      <c r="W26" s="20"/>
      <c r="X26" s="20"/>
      <c r="Y26" s="2"/>
      <c r="Z26" s="20" t="s">
        <v>11</v>
      </c>
      <c r="AA26" s="20"/>
      <c r="AB26" s="20"/>
      <c r="AC26" s="2"/>
      <c r="AD26" s="20" t="s">
        <v>12</v>
      </c>
      <c r="AE26" s="20"/>
      <c r="AF26" s="20"/>
      <c r="AG26" s="2"/>
      <c r="AH26" s="20" t="s">
        <v>13</v>
      </c>
      <c r="AI26" s="20"/>
      <c r="AJ26" s="20"/>
      <c r="AK26" s="2"/>
      <c r="AL26" s="20" t="s">
        <v>14</v>
      </c>
      <c r="AM26" s="20"/>
      <c r="AN26" s="20"/>
    </row>
    <row r="27" spans="1:40" x14ac:dyDescent="0.25">
      <c r="A27" s="23"/>
      <c r="B27" s="3">
        <v>5.38</v>
      </c>
      <c r="C27" s="4">
        <v>-1.32</v>
      </c>
      <c r="D27" s="5">
        <v>3.46</v>
      </c>
      <c r="F27" s="3">
        <v>3</v>
      </c>
      <c r="G27" s="4">
        <v>7.92</v>
      </c>
      <c r="H27" s="5">
        <v>0.73</v>
      </c>
      <c r="J27" s="3">
        <v>7.79</v>
      </c>
      <c r="K27" s="4">
        <v>7.52</v>
      </c>
      <c r="L27" s="5">
        <v>2.59</v>
      </c>
      <c r="N27" s="3">
        <v>14.99</v>
      </c>
      <c r="O27" s="4">
        <v>6.06</v>
      </c>
      <c r="P27" s="5">
        <v>0.34</v>
      </c>
      <c r="R27" s="3">
        <v>15.19</v>
      </c>
      <c r="S27" s="4">
        <v>12.24</v>
      </c>
      <c r="T27" s="5">
        <v>-0.28000000000000003</v>
      </c>
      <c r="V27" s="3">
        <v>10.37</v>
      </c>
      <c r="W27" s="4">
        <v>11.6</v>
      </c>
      <c r="X27" s="5">
        <v>2.84</v>
      </c>
      <c r="Z27" s="3">
        <v>5.84</v>
      </c>
      <c r="AA27" s="4">
        <v>14.2</v>
      </c>
      <c r="AB27" s="5">
        <v>1.22</v>
      </c>
      <c r="AD27" s="3">
        <v>4.8</v>
      </c>
      <c r="AE27" s="4">
        <v>19.16</v>
      </c>
      <c r="AF27" s="5">
        <v>0.44</v>
      </c>
      <c r="AH27" s="3">
        <v>-6.4</v>
      </c>
      <c r="AI27" s="4">
        <v>57.2</v>
      </c>
      <c r="AJ27" s="5">
        <v>20.45</v>
      </c>
      <c r="AL27" s="3">
        <v>11.75</v>
      </c>
      <c r="AM27" s="4">
        <v>20.05</v>
      </c>
      <c r="AN27" s="5">
        <v>4.55</v>
      </c>
    </row>
    <row r="28" spans="1:40" ht="9.9499999999999993" customHeight="1" x14ac:dyDescent="0.25">
      <c r="A28" s="23"/>
    </row>
    <row r="29" spans="1:40" ht="15.75" x14ac:dyDescent="0.25">
      <c r="A29" s="23"/>
      <c r="B29" s="20" t="s">
        <v>15</v>
      </c>
      <c r="C29" s="20"/>
      <c r="D29" s="20"/>
      <c r="E29" s="2"/>
      <c r="F29" s="20" t="s">
        <v>16</v>
      </c>
      <c r="G29" s="20"/>
      <c r="H29" s="20"/>
      <c r="I29" s="2"/>
      <c r="J29" s="20" t="s">
        <v>17</v>
      </c>
      <c r="K29" s="20"/>
      <c r="L29" s="20"/>
      <c r="M29" s="2"/>
      <c r="N29" s="20" t="s">
        <v>18</v>
      </c>
      <c r="O29" s="20"/>
      <c r="P29" s="20"/>
      <c r="Q29" s="2"/>
      <c r="R29" s="20" t="s">
        <v>19</v>
      </c>
      <c r="S29" s="20"/>
      <c r="T29" s="20"/>
      <c r="U29" s="2"/>
      <c r="V29" s="20" t="s">
        <v>20</v>
      </c>
      <c r="W29" s="20"/>
      <c r="X29" s="20"/>
      <c r="Y29" s="2"/>
      <c r="Z29" s="20" t="s">
        <v>21</v>
      </c>
      <c r="AA29" s="20"/>
      <c r="AB29" s="20"/>
      <c r="AC29" s="2"/>
      <c r="AD29" s="20" t="s">
        <v>22</v>
      </c>
      <c r="AE29" s="20"/>
      <c r="AF29" s="20"/>
      <c r="AG29" s="2"/>
      <c r="AH29" s="20" t="s">
        <v>23</v>
      </c>
      <c r="AI29" s="20"/>
      <c r="AJ29" s="20"/>
      <c r="AK29" s="2"/>
      <c r="AL29" s="20" t="s">
        <v>24</v>
      </c>
      <c r="AM29" s="20"/>
      <c r="AN29" s="20"/>
    </row>
    <row r="30" spans="1:40" x14ac:dyDescent="0.25">
      <c r="A30" s="23"/>
      <c r="B30" s="3">
        <v>19.22</v>
      </c>
      <c r="C30" s="4">
        <v>26.11</v>
      </c>
      <c r="D30" s="5">
        <v>2.46</v>
      </c>
      <c r="F30" s="3">
        <v>16.010000000000002</v>
      </c>
      <c r="G30" s="4">
        <v>18.48</v>
      </c>
      <c r="H30" s="5">
        <v>5.49</v>
      </c>
      <c r="J30" s="3">
        <v>17.600000000000001</v>
      </c>
      <c r="K30" s="4">
        <v>18.510000000000002</v>
      </c>
      <c r="L30" s="5">
        <v>6.84</v>
      </c>
      <c r="N30" s="3">
        <v>22.76</v>
      </c>
      <c r="O30" s="4">
        <v>19.41</v>
      </c>
      <c r="P30" s="5">
        <v>5.16</v>
      </c>
      <c r="R30" s="3">
        <v>29.1</v>
      </c>
      <c r="S30" s="4">
        <v>2.1</v>
      </c>
      <c r="T30" s="5">
        <v>5.55</v>
      </c>
      <c r="V30" s="3">
        <v>29.86</v>
      </c>
      <c r="W30" s="4">
        <v>15.45</v>
      </c>
      <c r="X30" s="5">
        <v>3.16</v>
      </c>
      <c r="Z30" s="3">
        <v>52.31</v>
      </c>
      <c r="AA30" s="4">
        <v>8.2799999999999994</v>
      </c>
      <c r="AB30" s="5">
        <v>3.88</v>
      </c>
      <c r="AD30" s="3">
        <v>24.98</v>
      </c>
      <c r="AE30" s="4">
        <v>8.1199999999999992</v>
      </c>
      <c r="AF30" s="5">
        <v>5.2</v>
      </c>
      <c r="AH30" s="3">
        <v>17.989999999999998</v>
      </c>
      <c r="AI30" s="4">
        <v>8.83</v>
      </c>
      <c r="AJ30" s="5">
        <v>5.33</v>
      </c>
      <c r="AL30" s="3">
        <v>18.25</v>
      </c>
      <c r="AM30" s="4">
        <v>14.8</v>
      </c>
      <c r="AN30" s="5">
        <v>11.86</v>
      </c>
    </row>
    <row r="31" spans="1:40" ht="9.9499999999999993" customHeight="1" x14ac:dyDescent="0.25">
      <c r="A31" s="23"/>
    </row>
    <row r="32" spans="1:40" x14ac:dyDescent="0.25">
      <c r="A32" s="23"/>
      <c r="B32" s="6">
        <f>SQRT(POWER((B27 - Point1_X),2) + POWER((C27 - Point1_Y),2) + POWER((D27 - B25 - Point1_Z),2))</f>
        <v>4.6424676627845241</v>
      </c>
      <c r="C32" s="7">
        <f>SQRT(POWER((F27 - Point2_X),2) + POWER((G27 - Point2_Y),2) + POWER((H27 - B25 - Point2_Z),2))</f>
        <v>0.58427818716772228</v>
      </c>
      <c r="D32" s="8">
        <f>SQRT(POWER((J27 - Point3_X),2) + POWER((K27 - Point3_Y),2) + POWER((L27- B25  - Point3_Z),2))</f>
        <v>2.1689354531659077</v>
      </c>
      <c r="F32" s="6">
        <f>SQRT(POWER((N27 - Point4_X),2) + POWER((O27 - Point4_Y),2) + POWER((P27 - B25 - Point4_Z),2))</f>
        <v>1.7432217300160071</v>
      </c>
      <c r="G32" s="7">
        <f>SQRT(POWER((R27 - Point5_X),2) + POWER((S27 - Point5_Y),2) + POWER((T27- B25  - Point5_Z),2))</f>
        <v>2.7726004039529388</v>
      </c>
      <c r="H32" s="8">
        <f>SQRT(POWER((V27 - Point6_X),2) + POWER((W27 - Point6_Y),2) + POWER((X27 - B25 - Point6_Z),2))</f>
        <v>1.8575403091184859</v>
      </c>
      <c r="J32" s="6">
        <f>SQRT(POWER((Z27 - Point7_X),2) + POWER((AA27 - Point7_Y),2) + POWER((AB27 - B25 - Point7_Z),2))</f>
        <v>0.47282660669636584</v>
      </c>
      <c r="K32" s="7">
        <f>SQRT(POWER((AD27 - Point8_X),2) + POWER((AE27 - Point8_Y),2) + POWER((AF27- B25  - Point8_Z),2))</f>
        <v>1.0665477016992713</v>
      </c>
      <c r="L32" s="8">
        <f>SQRT(POWER((AH27 - Point9_X),2) + POWER((AI27 - Point9_Y),2) + POWER((AJ27 - B25 - Point9_Z),2))</f>
        <v>44.978596387615305</v>
      </c>
      <c r="N32" s="6">
        <f>SQRT(POWER((AL27 - Point10_X),2) + POWER((AM27 - Point10_Y),2) + POWER((AN27 - B25 - Point10_Z),2))</f>
        <v>1.7588752087626924</v>
      </c>
      <c r="O32" s="7">
        <f>SQRT(POWER((B30 - Point11_X),2) + POWER((C30 - Point11_Y),2) + POWER((D30 - B25 - Point11_Z),2))</f>
        <v>9.9082047314334378</v>
      </c>
      <c r="P32" s="8">
        <f>SQRT(POWER((F30 - Point12_X),2) + POWER((G30 - Point12_Y),2) + POWER((H30 - B25 - Point12_Zcorrect),2))</f>
        <v>1.0424821341394788</v>
      </c>
      <c r="R32" s="6">
        <f>SQRT(POWER((J30 - Point13_X),2) + POWER((K30 - Point13_Y),2) + POWER((L30- B25  - Point13_Z),2))</f>
        <v>0.45996739014847537</v>
      </c>
      <c r="S32" s="7">
        <f>SQRT(POWER((N30 - Point14_X),2) + POWER((O30 - Point14_Y),2) + POWER((P30- B25  - Point14_Z),2))</f>
        <v>2.1710654066609782</v>
      </c>
      <c r="T32" s="8">
        <f>SQRT(POWER((R30 - Point15_X),2) + POWER((S30 - Point15_Y),2) + POWER((T30 - B25 - Point15_Z),2))</f>
        <v>18.044125526054177</v>
      </c>
      <c r="V32" s="6">
        <f>SQRT(POWER((V30 - Point16_X),2) + POWER((W30 - Point16_Y),2) + POWER((X30 - B25 - Point16_Z),2))</f>
        <v>5.346248965396204</v>
      </c>
      <c r="W32" s="7">
        <f>SQRT(POWER((Z30 - Point17_X),2) + POWER((AA30 - Point17_Y),2) + POWER((AB30- B25  - Point17_Z),2))</f>
        <v>22.332826713159264</v>
      </c>
      <c r="X32" s="8">
        <f>SQRT(POWER((AD30 - Point18_X),2) + POWER((AE30 - Point18_Y),2) + POWER((AF30- B25  - Point18_Z),2))</f>
        <v>3.0805653701877533</v>
      </c>
      <c r="Z32" s="6">
        <f>SQRT(POWER((AH30 - Point19_X),2) + POWER((AI30 - Point19_Y),2) + POWER((AJ30- B25  - Point19_Z),2))</f>
        <v>2.0190428425370275</v>
      </c>
      <c r="AA32" s="8">
        <f>SQRT(POWER((AL30 - Point20_X),2) + POWER((AM30 - Point20_Y),2) + POWER((AN30- B25  - Point20_Z),2))</f>
        <v>4.7289633113400242</v>
      </c>
      <c r="AD32" s="9">
        <f>AVERAGE(B32:AA32)</f>
        <v>6.5589691021018011</v>
      </c>
      <c r="AE32" s="10">
        <f>_xlfn.STDEV.P(B32:T32)</f>
        <v>11.293416607755587</v>
      </c>
    </row>
    <row r="33" spans="1:40" ht="30" customHeight="1" x14ac:dyDescent="0.25">
      <c r="A33" s="1"/>
      <c r="B33">
        <v>1.6</v>
      </c>
    </row>
    <row r="34" spans="1:40" ht="15.75" customHeight="1" x14ac:dyDescent="0.25">
      <c r="A34" s="23" t="s">
        <v>46</v>
      </c>
      <c r="B34" s="20" t="s">
        <v>5</v>
      </c>
      <c r="C34" s="20"/>
      <c r="D34" s="20"/>
      <c r="E34" s="2"/>
      <c r="F34" s="20" t="s">
        <v>6</v>
      </c>
      <c r="G34" s="20"/>
      <c r="H34" s="20"/>
      <c r="I34" s="2"/>
      <c r="J34" s="20" t="s">
        <v>7</v>
      </c>
      <c r="K34" s="20"/>
      <c r="L34" s="20"/>
      <c r="M34" s="2"/>
      <c r="N34" s="20" t="s">
        <v>8</v>
      </c>
      <c r="O34" s="20"/>
      <c r="P34" s="20"/>
      <c r="Q34" s="2"/>
      <c r="R34" s="20" t="s">
        <v>9</v>
      </c>
      <c r="S34" s="20"/>
      <c r="T34" s="20"/>
      <c r="U34" s="2"/>
      <c r="V34" s="20" t="s">
        <v>10</v>
      </c>
      <c r="W34" s="20"/>
      <c r="X34" s="20"/>
      <c r="Y34" s="2"/>
      <c r="Z34" s="20" t="s">
        <v>11</v>
      </c>
      <c r="AA34" s="20"/>
      <c r="AB34" s="20"/>
      <c r="AC34" s="2"/>
      <c r="AD34" s="20" t="s">
        <v>12</v>
      </c>
      <c r="AE34" s="20"/>
      <c r="AF34" s="20"/>
      <c r="AG34" s="2"/>
      <c r="AH34" s="20" t="s">
        <v>13</v>
      </c>
      <c r="AI34" s="20"/>
      <c r="AJ34" s="20"/>
      <c r="AK34" s="2"/>
      <c r="AL34" s="20" t="s">
        <v>14</v>
      </c>
      <c r="AM34" s="20"/>
      <c r="AN34" s="20"/>
    </row>
    <row r="35" spans="1:40" x14ac:dyDescent="0.25">
      <c r="A35" s="23"/>
      <c r="B35" s="3">
        <v>3.75</v>
      </c>
      <c r="C35" s="4">
        <v>2.33</v>
      </c>
      <c r="D35" s="5">
        <v>1.45</v>
      </c>
      <c r="F35" s="3">
        <v>2.57</v>
      </c>
      <c r="G35" s="4">
        <v>7.85</v>
      </c>
      <c r="H35" s="5">
        <v>1.35</v>
      </c>
      <c r="J35" s="3">
        <v>6.53</v>
      </c>
      <c r="K35" s="4">
        <v>8.7899999999999991</v>
      </c>
      <c r="L35" s="5">
        <v>2.98</v>
      </c>
      <c r="N35" s="3">
        <v>13.6</v>
      </c>
      <c r="O35" s="4">
        <v>5.52</v>
      </c>
      <c r="P35" s="5">
        <v>1.44</v>
      </c>
      <c r="R35" s="3">
        <v>14.42</v>
      </c>
      <c r="S35" s="4">
        <v>10.15</v>
      </c>
      <c r="T35" s="5">
        <v>0.78</v>
      </c>
      <c r="V35" s="3">
        <v>9.91</v>
      </c>
      <c r="W35" s="4">
        <v>12.25</v>
      </c>
      <c r="X35" s="5">
        <v>1.25</v>
      </c>
      <c r="Z35" s="3">
        <v>5.32</v>
      </c>
      <c r="AA35" s="4">
        <v>14.23</v>
      </c>
      <c r="AB35" s="5">
        <v>2.71</v>
      </c>
      <c r="AD35" s="3">
        <v>4.4400000000000004</v>
      </c>
      <c r="AE35" s="4">
        <v>18.59</v>
      </c>
      <c r="AF35" s="5">
        <v>1.4</v>
      </c>
      <c r="AH35" s="3">
        <v>7.5</v>
      </c>
      <c r="AI35" s="4">
        <v>18.579999999999998</v>
      </c>
      <c r="AJ35" s="5">
        <v>2.75</v>
      </c>
      <c r="AL35" s="3">
        <v>11.22</v>
      </c>
      <c r="AM35" s="4">
        <v>18.899999999999999</v>
      </c>
      <c r="AN35" s="5">
        <v>3.29</v>
      </c>
    </row>
    <row r="36" spans="1:40" ht="9.9499999999999993" customHeight="1" x14ac:dyDescent="0.25">
      <c r="A36" s="23"/>
    </row>
    <row r="37" spans="1:40" ht="15.75" x14ac:dyDescent="0.25">
      <c r="A37" s="23"/>
      <c r="B37" s="20" t="s">
        <v>15</v>
      </c>
      <c r="C37" s="20"/>
      <c r="D37" s="20"/>
      <c r="E37" s="2"/>
      <c r="F37" s="20" t="s">
        <v>16</v>
      </c>
      <c r="G37" s="20"/>
      <c r="H37" s="20"/>
      <c r="I37" s="2"/>
      <c r="J37" s="20" t="s">
        <v>17</v>
      </c>
      <c r="K37" s="20"/>
      <c r="L37" s="20"/>
      <c r="M37" s="2"/>
      <c r="N37" s="20" t="s">
        <v>18</v>
      </c>
      <c r="O37" s="20"/>
      <c r="P37" s="20"/>
      <c r="Q37" s="2"/>
      <c r="R37" s="20" t="s">
        <v>19</v>
      </c>
      <c r="S37" s="20"/>
      <c r="T37" s="20"/>
      <c r="U37" s="2"/>
      <c r="V37" s="20" t="s">
        <v>20</v>
      </c>
      <c r="W37" s="20"/>
      <c r="X37" s="20"/>
      <c r="Y37" s="2"/>
      <c r="Z37" s="20" t="s">
        <v>21</v>
      </c>
      <c r="AA37" s="20"/>
      <c r="AB37" s="20"/>
      <c r="AC37" s="2"/>
      <c r="AD37" s="20" t="s">
        <v>22</v>
      </c>
      <c r="AE37" s="20"/>
      <c r="AF37" s="20"/>
      <c r="AG37" s="2"/>
      <c r="AH37" s="20" t="s">
        <v>23</v>
      </c>
      <c r="AI37" s="20"/>
      <c r="AJ37" s="20"/>
      <c r="AK37" s="2"/>
      <c r="AL37" s="20" t="s">
        <v>24</v>
      </c>
      <c r="AM37" s="20"/>
      <c r="AN37" s="20"/>
    </row>
    <row r="38" spans="1:40" x14ac:dyDescent="0.25">
      <c r="A38" s="23"/>
      <c r="B38" s="3">
        <v>13.42</v>
      </c>
      <c r="C38" s="4">
        <v>19.059999999999999</v>
      </c>
      <c r="D38" s="5">
        <v>5.08</v>
      </c>
      <c r="F38" s="3">
        <v>15.4</v>
      </c>
      <c r="G38" s="4">
        <v>18.559999999999999</v>
      </c>
      <c r="H38" s="5">
        <v>7.35</v>
      </c>
      <c r="J38" s="3">
        <v>17.64</v>
      </c>
      <c r="K38" s="4">
        <v>18.510000000000002</v>
      </c>
      <c r="L38" s="5">
        <v>7.71</v>
      </c>
      <c r="N38" s="3">
        <v>22.99</v>
      </c>
      <c r="O38" s="4">
        <v>19.27</v>
      </c>
      <c r="P38" s="5">
        <v>7.79</v>
      </c>
      <c r="R38" s="3">
        <v>28.62</v>
      </c>
      <c r="S38" s="4">
        <v>20.12</v>
      </c>
      <c r="T38" s="5">
        <v>7.32</v>
      </c>
      <c r="V38" s="3">
        <v>26.68</v>
      </c>
      <c r="W38" s="4">
        <v>16.559999999999999</v>
      </c>
      <c r="X38" s="5">
        <v>8.23</v>
      </c>
      <c r="Z38" s="3">
        <v>31.22</v>
      </c>
      <c r="AA38" s="4">
        <v>15.82</v>
      </c>
      <c r="AB38" s="5">
        <v>5.84</v>
      </c>
      <c r="AD38" s="3">
        <v>23.69</v>
      </c>
      <c r="AE38" s="4">
        <v>9.8800000000000008</v>
      </c>
      <c r="AF38" s="5">
        <v>8.27</v>
      </c>
      <c r="AH38" s="3">
        <v>17.7</v>
      </c>
      <c r="AI38" s="4">
        <v>8.7799999999999994</v>
      </c>
      <c r="AJ38" s="5">
        <v>8.07</v>
      </c>
      <c r="AL38" s="3">
        <v>18.440000000000001</v>
      </c>
      <c r="AM38" s="4">
        <v>13.56</v>
      </c>
      <c r="AN38" s="5">
        <v>7.87</v>
      </c>
    </row>
    <row r="39" spans="1:40" ht="9.9499999999999993" customHeight="1" x14ac:dyDescent="0.25">
      <c r="A39" s="23"/>
    </row>
    <row r="40" spans="1:40" x14ac:dyDescent="0.25">
      <c r="A40" s="23"/>
      <c r="B40" s="6">
        <f>SQRT(POWER((B35 - Point1_X),2) + POWER((C35 - Point1_Y),2) + POWER((D35 - B33- Point1_Z),2))</f>
        <v>0.16554757624320571</v>
      </c>
      <c r="C40" s="7">
        <f>SQRT(POWER((F35 - Point2_X),2) + POWER((G35 - Point2_Y),2) + POWER((H35 - B33 - Point2_Z),2))</f>
        <v>0.28362122628604536</v>
      </c>
      <c r="D40" s="8">
        <f>SQRT(POWER((J35 - Point3_X),2) + POWER((K35 - Point3_Y),2) + POWER((L35  - B33- Point3_Z),2))</f>
        <v>1.3707155065877088</v>
      </c>
      <c r="F40" s="6">
        <f>SQRT(POWER((N35 - Point4_X),2) + POWER((O35 - Point4_Y),2) + POWER((P35 - B33 - Point4_Z),2))</f>
        <v>0.18028311068982603</v>
      </c>
      <c r="G40" s="7">
        <f>SQRT(POWER((R35 - Point5_X),2) + POWER((S35 - Point5_Y),2) + POWER((T35 - B33 - Point5_Z),2))</f>
        <v>0.8799164733086885</v>
      </c>
      <c r="H40" s="8">
        <f>SQRT(POWER((V35 - Point6_X),2) + POWER((W35 - Point6_Y),2) + POWER((X35 - B33 - Point6_Z),2))</f>
        <v>0.38540368446604156</v>
      </c>
      <c r="J40" s="6">
        <f>SQRT(POWER((Z35 - Point7_X),2) + POWER((AA35 - Point7_Y),2) + POWER((AB35 - B33 - Point7_Z),2))</f>
        <v>1.1251066616103558</v>
      </c>
      <c r="K40" s="7">
        <f>SQRT(POWER((AD35 - Point8_X),2) + POWER((AE35 - Point8_Y),2) + POWER((AF35 - B33 - Point8_Z),2))</f>
        <v>0.22014540649307149</v>
      </c>
      <c r="L40" s="8">
        <f>SQRT(POWER((AH35 - Point9_X),2) + POWER((AI35 - Point9_Y),2) + POWER((AJ35 - B33 - Point9_Z),2))</f>
        <v>0.285959787382771</v>
      </c>
      <c r="N40" s="6">
        <f>SQRT(POWER((AL35 - Point10_X),2) + POWER((AM35 - Point10_Y),2) + POWER((AN35  - B33- Point10_Z),2))</f>
        <v>1.5375246339489979</v>
      </c>
      <c r="O40" s="7">
        <f>SQRT(POWER((B38 - Point11_X),2) + POWER((C38 - Point11_Y),2) + POWER((D38  - B33- Point11_Z),2))</f>
        <v>0.81317956196648078</v>
      </c>
      <c r="P40" s="8">
        <f>SQRT(POWER((F38 - Point12_X),2) + POWER((G38 - Point12_Y),2) + POWER((H38  - B33- Point12_Zcorrect),2))</f>
        <v>0.55162396612184939</v>
      </c>
      <c r="R40" s="6">
        <f>SQRT(POWER((J38 - Point13_X),2) + POWER((K38 - Point13_Y),2) + POWER((L38 - B33 - Point13_Z),2))</f>
        <v>6.6708320320630926E-2</v>
      </c>
      <c r="S40" s="7">
        <f>SQRT(POWER((N38 - Point14_X),2) + POWER((O38 - Point14_Y),2) + POWER((P38 - B33 - Point14_Z),2))</f>
        <v>0.14793579688499786</v>
      </c>
      <c r="T40" s="8">
        <f>SQRT(POWER((R38 - Point15_X),2) + POWER((S38 - Point15_Y),2) + POWER((T38 - B33 - Point15_Z),2))</f>
        <v>0.42448321521586563</v>
      </c>
      <c r="V40" s="6">
        <f>SQRT(POWER((V38 - Point16_X),2) + POWER((W38 - Point16_Y),2) + POWER((X38 - B33 - Point16_Z),2))</f>
        <v>0.54346849034695766</v>
      </c>
      <c r="W40" s="7">
        <f>SQRT(POWER((Z38 - Point17_X),2) + POWER((AA38 - Point17_Y),2) + POWER((AB38 - B33 - Point17_Z),2))</f>
        <v>1.9166348113294822</v>
      </c>
      <c r="X40" s="8">
        <f>SQRT(POWER((AD38 - Point18_X),2) + POWER((AE38 - Point18_Y),2) + POWER((AF38  - B33- Point18_Z),2))</f>
        <v>0.593601718326354</v>
      </c>
      <c r="Z40" s="6">
        <f>SQRT(POWER((AH38 - Point19_X),2) + POWER((AI38 - Point19_Y),2) + POWER((AJ38  - B33- Point19_Z),2))</f>
        <v>0.41128335730977522</v>
      </c>
      <c r="AA40" s="8">
        <f>SQRT(POWER((AL38 - Point20_X),2) + POWER((AM38 - Point20_Y),2) + POWER((AN38 - B33 - Point20_Z),2))</f>
        <v>0.1831775095365154</v>
      </c>
      <c r="AD40" s="9">
        <f>AVERAGE(B40:AA40)</f>
        <v>0.60431604071878109</v>
      </c>
      <c r="AE40" s="10">
        <f>_xlfn.STDEV.P(B40:T40)</f>
        <v>0.4566051122459685</v>
      </c>
    </row>
    <row r="41" spans="1:40" ht="30" customHeight="1" x14ac:dyDescent="0.25">
      <c r="A41" s="1"/>
    </row>
    <row r="42" spans="1:40" ht="15.75" customHeight="1" x14ac:dyDescent="0.25">
      <c r="A42" s="23" t="s">
        <v>27</v>
      </c>
      <c r="B42" s="20" t="s">
        <v>5</v>
      </c>
      <c r="C42" s="20"/>
      <c r="D42" s="20"/>
      <c r="E42" s="2"/>
      <c r="F42" s="20" t="s">
        <v>6</v>
      </c>
      <c r="G42" s="20"/>
      <c r="H42" s="20"/>
      <c r="I42" s="2"/>
      <c r="J42" s="20" t="s">
        <v>7</v>
      </c>
      <c r="K42" s="20"/>
      <c r="L42" s="20"/>
      <c r="M42" s="2"/>
      <c r="N42" s="20" t="s">
        <v>8</v>
      </c>
      <c r="O42" s="20"/>
      <c r="P42" s="20"/>
      <c r="Q42" s="2"/>
      <c r="R42" s="20" t="s">
        <v>9</v>
      </c>
      <c r="S42" s="20"/>
      <c r="T42" s="20"/>
      <c r="U42" s="2"/>
      <c r="V42" s="20" t="s">
        <v>10</v>
      </c>
      <c r="W42" s="20"/>
      <c r="X42" s="20"/>
      <c r="Y42" s="2"/>
      <c r="Z42" s="20" t="s">
        <v>11</v>
      </c>
      <c r="AA42" s="20"/>
      <c r="AB42" s="20"/>
      <c r="AC42" s="2"/>
      <c r="AD42" s="20" t="s">
        <v>12</v>
      </c>
      <c r="AE42" s="20"/>
      <c r="AF42" s="20"/>
      <c r="AG42" s="2"/>
      <c r="AH42" s="20" t="s">
        <v>13</v>
      </c>
      <c r="AI42" s="20"/>
      <c r="AJ42" s="20"/>
      <c r="AK42" s="2"/>
      <c r="AL42" s="20" t="s">
        <v>14</v>
      </c>
      <c r="AM42" s="20"/>
      <c r="AN42" s="20"/>
    </row>
    <row r="43" spans="1:40" x14ac:dyDescent="0.25">
      <c r="A43" s="23"/>
      <c r="B43" s="17">
        <v>4.2300000000000004</v>
      </c>
      <c r="C43" s="18">
        <v>2.15</v>
      </c>
      <c r="D43" s="19">
        <v>0.06</v>
      </c>
      <c r="E43" s="16"/>
      <c r="F43" s="17">
        <v>3.15</v>
      </c>
      <c r="G43" s="18">
        <v>7.23</v>
      </c>
      <c r="H43" s="19">
        <v>0.14000000000000001</v>
      </c>
      <c r="I43" s="16"/>
      <c r="J43" s="17">
        <v>9.2200000000000006</v>
      </c>
      <c r="K43" s="18">
        <v>8.67</v>
      </c>
      <c r="L43" s="19">
        <v>0.06</v>
      </c>
      <c r="M43" s="16"/>
      <c r="N43" s="17">
        <v>15.71</v>
      </c>
      <c r="O43" s="18">
        <v>8.99</v>
      </c>
      <c r="P43" s="19">
        <v>0.06</v>
      </c>
      <c r="Q43" s="16"/>
      <c r="R43" s="17">
        <v>16.5</v>
      </c>
      <c r="S43" s="18">
        <v>9.86</v>
      </c>
      <c r="T43" s="19">
        <v>0.12</v>
      </c>
      <c r="U43" s="16"/>
      <c r="V43" s="17">
        <v>11.82</v>
      </c>
      <c r="W43" s="18">
        <v>10.83</v>
      </c>
      <c r="X43" s="19">
        <v>0.02</v>
      </c>
      <c r="Y43" s="16"/>
      <c r="Z43" s="17">
        <v>6.52</v>
      </c>
      <c r="AA43" s="18">
        <v>15.14</v>
      </c>
      <c r="AB43" s="19">
        <v>0.04</v>
      </c>
      <c r="AC43" s="16"/>
      <c r="AD43" s="17">
        <v>5.1100000000000003</v>
      </c>
      <c r="AE43" s="18">
        <v>17.68</v>
      </c>
      <c r="AF43" s="19">
        <v>0.06</v>
      </c>
      <c r="AG43" s="16"/>
      <c r="AH43" s="17">
        <v>17.98</v>
      </c>
      <c r="AI43" s="18">
        <v>7.47</v>
      </c>
      <c r="AJ43" s="19">
        <v>1.94</v>
      </c>
      <c r="AK43" s="16"/>
      <c r="AL43" s="17">
        <v>10.98</v>
      </c>
      <c r="AM43" s="18">
        <v>18.23</v>
      </c>
      <c r="AN43" s="19">
        <v>3.16</v>
      </c>
    </row>
    <row r="44" spans="1:40" ht="9.9499999999999993" customHeight="1" x14ac:dyDescent="0.25">
      <c r="A44" s="23"/>
    </row>
    <row r="45" spans="1:40" ht="15.75" x14ac:dyDescent="0.25">
      <c r="A45" s="23"/>
      <c r="B45" s="20" t="s">
        <v>15</v>
      </c>
      <c r="C45" s="20"/>
      <c r="D45" s="20"/>
      <c r="E45" s="2"/>
      <c r="F45" s="20" t="s">
        <v>16</v>
      </c>
      <c r="G45" s="20"/>
      <c r="H45" s="20"/>
      <c r="I45" s="2"/>
      <c r="J45" s="20" t="s">
        <v>17</v>
      </c>
      <c r="K45" s="20"/>
      <c r="L45" s="20"/>
      <c r="M45" s="2"/>
      <c r="N45" s="20" t="s">
        <v>18</v>
      </c>
      <c r="O45" s="20"/>
      <c r="P45" s="20"/>
      <c r="Q45" s="2"/>
      <c r="R45" s="20" t="s">
        <v>19</v>
      </c>
      <c r="S45" s="20"/>
      <c r="T45" s="20"/>
      <c r="U45" s="2"/>
      <c r="V45" s="20" t="s">
        <v>20</v>
      </c>
      <c r="W45" s="20"/>
      <c r="X45" s="20"/>
      <c r="Y45" s="2"/>
      <c r="Z45" s="20" t="s">
        <v>21</v>
      </c>
      <c r="AA45" s="20"/>
      <c r="AB45" s="20"/>
      <c r="AC45" s="2"/>
      <c r="AD45" s="20" t="s">
        <v>22</v>
      </c>
      <c r="AE45" s="20"/>
      <c r="AF45" s="20"/>
      <c r="AG45" s="2"/>
      <c r="AH45" s="20" t="s">
        <v>23</v>
      </c>
      <c r="AI45" s="20"/>
      <c r="AJ45" s="20"/>
      <c r="AK45" s="2"/>
      <c r="AL45" s="20" t="s">
        <v>24</v>
      </c>
      <c r="AM45" s="20"/>
      <c r="AN45" s="20"/>
    </row>
    <row r="46" spans="1:40" x14ac:dyDescent="0.25">
      <c r="A46" s="23"/>
      <c r="B46" s="17">
        <v>13.52</v>
      </c>
      <c r="C46" s="18">
        <v>17.47</v>
      </c>
      <c r="D46" s="19">
        <v>4.26</v>
      </c>
      <c r="E46" s="16"/>
      <c r="F46" s="17">
        <v>15.01</v>
      </c>
      <c r="G46" s="18">
        <v>17.88</v>
      </c>
      <c r="H46" s="19">
        <v>5.05</v>
      </c>
      <c r="I46" s="16"/>
      <c r="J46" s="17">
        <v>13.39</v>
      </c>
      <c r="K46" s="18">
        <v>17.84</v>
      </c>
      <c r="L46" s="19">
        <v>6.11</v>
      </c>
      <c r="M46" s="16"/>
      <c r="N46" s="17">
        <v>20.329999999999998</v>
      </c>
      <c r="O46" s="18">
        <v>15.47</v>
      </c>
      <c r="P46" s="19">
        <v>6.12</v>
      </c>
      <c r="Q46" s="16"/>
      <c r="R46" s="17">
        <v>20.99</v>
      </c>
      <c r="S46" s="18">
        <v>15.57</v>
      </c>
      <c r="T46" s="19">
        <v>6.14</v>
      </c>
      <c r="U46" s="16"/>
      <c r="V46" s="17">
        <v>27.39</v>
      </c>
      <c r="W46" s="18">
        <v>15.47</v>
      </c>
      <c r="X46" s="19">
        <v>6.15</v>
      </c>
      <c r="Y46" s="16"/>
      <c r="Z46" s="17">
        <v>31.39</v>
      </c>
      <c r="AA46" s="18">
        <v>15.49</v>
      </c>
      <c r="AB46" s="19">
        <v>6.14</v>
      </c>
      <c r="AC46" s="16"/>
      <c r="AD46" s="17">
        <v>27.14</v>
      </c>
      <c r="AE46" s="18">
        <v>10.33</v>
      </c>
      <c r="AF46" s="19">
        <v>6.21</v>
      </c>
      <c r="AG46" s="16"/>
      <c r="AH46" s="17">
        <v>16.989999999999998</v>
      </c>
      <c r="AI46" s="18">
        <v>10.55</v>
      </c>
      <c r="AJ46" s="19">
        <v>6.16</v>
      </c>
      <c r="AK46" s="16"/>
      <c r="AL46" s="17">
        <v>17.38</v>
      </c>
      <c r="AM46" s="18">
        <v>15.17</v>
      </c>
      <c r="AN46" s="19">
        <v>6.16</v>
      </c>
    </row>
    <row r="47" spans="1:40" ht="9.9499999999999993" customHeight="1" x14ac:dyDescent="0.25">
      <c r="A47" s="23"/>
    </row>
    <row r="48" spans="1:40" x14ac:dyDescent="0.25">
      <c r="A48" s="23"/>
      <c r="B48" s="6">
        <f>SQRT(POWER((B43 - Point1_X),2) + POWER((C43 - Point1_Y),2) + POWER((D43 - Point1_Z),2))</f>
        <v>0.56539013079465783</v>
      </c>
      <c r="C48" s="7">
        <f>SQRT(POWER((F43 - Point2_X),2) + POWER((G43 - Point2_Y),2) + POWER((H43 - Point2_Z),2))</f>
        <v>0.85504444328935303</v>
      </c>
      <c r="D48" s="8">
        <f>SQRT(POWER((J43 - Point3_X),2) + POWER((K43 - Point3_Y),2) + POWER((L43 - Point3_Z),2))</f>
        <v>2.6225638219116814</v>
      </c>
      <c r="F48" s="6">
        <f>SQRT(POWER((N43 - Point4_X),2) + POWER((O43 - Point4_Y),2) + POWER((P43 - Point4_Z),2))</f>
        <v>4.0627480847327968</v>
      </c>
      <c r="G48" s="7">
        <f>SQRT(POWER((R43 - Point5_X),2) + POWER((S43 - Point5_Y),2) + POWER((T43 - Point5_Z),2))</f>
        <v>1.8703082633619525</v>
      </c>
      <c r="H48" s="8">
        <f>SQRT(POWER((V43 - Point6_X),2) + POWER((W43 - Point6_Y),2) + POWER((X43 - Point6_Z),2))</f>
        <v>2.4986348272606786</v>
      </c>
      <c r="J48" s="6">
        <f>SQRT(POWER((Z43 - Point7_X),2) + POWER((AA43 - Point7_Y),2) + POWER((AB43 - Point7_Z),2))</f>
        <v>1.552419080016733</v>
      </c>
      <c r="K48" s="7">
        <f>SQRT(POWER((AD43 - Point8_X),2) + POWER((AE43 - Point8_Y),2) + POWER((AF43 - Point8_Z),2))</f>
        <v>1.0292249511161313</v>
      </c>
      <c r="L48" s="8">
        <f>SQRT(POWER((AH43 - Point9_X),2) + POWER((AI43 - Point9_Y),2) + POWER((AJ43 - Point9_Z),2))</f>
        <v>15.06848741579592</v>
      </c>
      <c r="N48" s="6">
        <f>SQRT(POWER((AL43 - Point10_X),2) + POWER((AM43 - Point10_Y),2) + POWER((AN43 - Point10_Z),2))</f>
        <v>0.76110577451494899</v>
      </c>
      <c r="O48" s="7">
        <f>SQRT(POWER((B46 - Point11_X),2) + POWER((C46 - Point11_Y),2) + POWER((D46 - Point11_Z),2))</f>
        <v>1.0388459943610524</v>
      </c>
      <c r="P48" s="8">
        <f>SQRT(POWER((F46 - Point12_X),2) + POWER((G46 - Point12_Y),2) + POWER((H46 - Point12_Zcorrect),2))</f>
        <v>0.82982468027891354</v>
      </c>
      <c r="R48" s="6">
        <f>SQRT(POWER((J46 - Point13_X),2) + POWER((K46 - Point13_Y),2) + POWER((L46 - Point13_Z),2))</f>
        <v>4.2970070979694679</v>
      </c>
      <c r="S48" s="7">
        <f>SQRT(POWER((N46 - Point14_X),2) + POWER((O46 - Point14_Y),2) + POWER((P46 - Point14_Z),2))</f>
        <v>4.5191619798365297</v>
      </c>
      <c r="T48" s="8">
        <f>SQRT(POWER((R46 - Point15_X),2) + POWER((S46 - Point15_Y),2) + POWER((T46 - Point15_Z),2))</f>
        <v>8.9276136789177869</v>
      </c>
      <c r="V48" s="6">
        <f>SQRT(POWER((V46 - Point16_X),2) + POWER((W46 - Point16_Y),2) + POWER((X46 - Point16_Z),2))</f>
        <v>1.4013058195840036</v>
      </c>
      <c r="W48" s="7">
        <f>SQRT(POWER((Z46 - Point17_X),2) + POWER((AA46 - Point17_Y),2) + POWER((AB46 - Point17_Z),2))</f>
        <v>6.8476273263079535E-2</v>
      </c>
      <c r="X48" s="8">
        <f>SQRT(POWER((AD46 - Point18_X),2) + POWER((AE46 - Point18_Y),2) + POWER((AF46 - Point18_Z),2))</f>
        <v>3.6359322050885399</v>
      </c>
      <c r="Z48" s="6">
        <f>SQRT(POWER((AH46 - Point19_X),2) + POWER((AI46 - Point19_Y),2) + POWER((AJ46 - Point19_Z),2))</f>
        <v>1.7182822818151868</v>
      </c>
      <c r="AA48" s="8">
        <f>SQRT(POWER((AL46 - Point20_X),2) + POWER((AM46 - Point20_Y),2) + POWER((AN46 - Point20_Z),2))</f>
        <v>1.8938674716040718</v>
      </c>
      <c r="AD48" s="9">
        <f>AVERAGE(B48:AA48)</f>
        <v>2.9608122137756743</v>
      </c>
      <c r="AE48" s="10">
        <f>_xlfn.STDEV.P(B48:T48)</f>
        <v>3.7915264617221309</v>
      </c>
    </row>
    <row r="49" spans="1:40" ht="30" customHeight="1" x14ac:dyDescent="0.25">
      <c r="A49" s="1"/>
    </row>
    <row r="50" spans="1:40" ht="15.75" customHeight="1" x14ac:dyDescent="0.25">
      <c r="A50" s="23" t="s">
        <v>28</v>
      </c>
      <c r="B50" s="20" t="s">
        <v>5</v>
      </c>
      <c r="C50" s="20"/>
      <c r="D50" s="20"/>
      <c r="E50" s="2"/>
      <c r="F50" s="20" t="s">
        <v>6</v>
      </c>
      <c r="G50" s="20"/>
      <c r="H50" s="20"/>
      <c r="I50" s="2"/>
      <c r="J50" s="20" t="s">
        <v>7</v>
      </c>
      <c r="K50" s="20"/>
      <c r="L50" s="20"/>
      <c r="M50" s="2"/>
      <c r="N50" s="20" t="s">
        <v>8</v>
      </c>
      <c r="O50" s="20"/>
      <c r="P50" s="20"/>
      <c r="Q50" s="2"/>
      <c r="R50" s="20" t="s">
        <v>9</v>
      </c>
      <c r="S50" s="20"/>
      <c r="T50" s="20"/>
      <c r="U50" s="2"/>
      <c r="V50" s="20" t="s">
        <v>10</v>
      </c>
      <c r="W50" s="20"/>
      <c r="X50" s="20"/>
      <c r="Y50" s="2"/>
      <c r="Z50" s="20" t="s">
        <v>11</v>
      </c>
      <c r="AA50" s="20"/>
      <c r="AB50" s="20"/>
      <c r="AC50" s="2"/>
      <c r="AD50" s="20" t="s">
        <v>12</v>
      </c>
      <c r="AE50" s="20"/>
      <c r="AF50" s="20"/>
      <c r="AG50" s="2"/>
      <c r="AH50" s="20" t="s">
        <v>13</v>
      </c>
      <c r="AI50" s="20"/>
      <c r="AJ50" s="20"/>
      <c r="AK50" s="2"/>
      <c r="AL50" s="20" t="s">
        <v>14</v>
      </c>
      <c r="AM50" s="20"/>
      <c r="AN50" s="20"/>
    </row>
    <row r="51" spans="1:40" x14ac:dyDescent="0.25">
      <c r="A51" s="23"/>
      <c r="B51" s="3"/>
      <c r="C51" s="4"/>
      <c r="D51" s="5"/>
      <c r="F51" s="3"/>
      <c r="G51" s="4"/>
      <c r="H51" s="5"/>
      <c r="J51" s="3"/>
      <c r="K51" s="4"/>
      <c r="L51" s="5"/>
      <c r="N51" s="3"/>
      <c r="O51" s="4"/>
      <c r="P51" s="5"/>
      <c r="R51" s="3"/>
      <c r="S51" s="4"/>
      <c r="T51" s="5"/>
      <c r="V51" s="3"/>
      <c r="W51" s="4"/>
      <c r="X51" s="5"/>
      <c r="Z51" s="3"/>
      <c r="AA51" s="4"/>
      <c r="AB51" s="5"/>
      <c r="AD51" s="3"/>
      <c r="AE51" s="4"/>
      <c r="AF51" s="5"/>
      <c r="AH51" s="3"/>
      <c r="AI51" s="4"/>
      <c r="AJ51" s="5"/>
      <c r="AL51" s="3"/>
      <c r="AM51" s="4"/>
      <c r="AN51" s="5"/>
    </row>
    <row r="52" spans="1:40" ht="9.9499999999999993" customHeight="1" x14ac:dyDescent="0.25">
      <c r="A52" s="23"/>
    </row>
    <row r="53" spans="1:40" ht="15.75" x14ac:dyDescent="0.25">
      <c r="A53" s="23"/>
      <c r="B53" s="20" t="s">
        <v>15</v>
      </c>
      <c r="C53" s="20"/>
      <c r="D53" s="20"/>
      <c r="E53" s="2"/>
      <c r="F53" s="20" t="s">
        <v>16</v>
      </c>
      <c r="G53" s="20"/>
      <c r="H53" s="20"/>
      <c r="I53" s="2"/>
      <c r="J53" s="20" t="s">
        <v>17</v>
      </c>
      <c r="K53" s="20"/>
      <c r="L53" s="20"/>
      <c r="M53" s="2"/>
      <c r="N53" s="20" t="s">
        <v>18</v>
      </c>
      <c r="O53" s="20"/>
      <c r="P53" s="20"/>
      <c r="Q53" s="2"/>
      <c r="R53" s="20" t="s">
        <v>19</v>
      </c>
      <c r="S53" s="20"/>
      <c r="T53" s="20"/>
      <c r="U53" s="2"/>
      <c r="V53" s="20" t="s">
        <v>20</v>
      </c>
      <c r="W53" s="20"/>
      <c r="X53" s="20"/>
      <c r="Y53" s="2"/>
      <c r="Z53" s="20" t="s">
        <v>21</v>
      </c>
      <c r="AA53" s="20"/>
      <c r="AB53" s="20"/>
      <c r="AC53" s="2"/>
      <c r="AD53" s="20" t="s">
        <v>22</v>
      </c>
      <c r="AE53" s="20"/>
      <c r="AF53" s="20"/>
      <c r="AG53" s="2"/>
      <c r="AH53" s="20" t="s">
        <v>23</v>
      </c>
      <c r="AI53" s="20"/>
      <c r="AJ53" s="20"/>
      <c r="AK53" s="2"/>
      <c r="AL53" s="20" t="s">
        <v>24</v>
      </c>
      <c r="AM53" s="20"/>
      <c r="AN53" s="20"/>
    </row>
    <row r="54" spans="1:40" x14ac:dyDescent="0.25">
      <c r="A54" s="23"/>
      <c r="B54" s="3"/>
      <c r="C54" s="4"/>
      <c r="D54" s="5"/>
      <c r="F54" s="3"/>
      <c r="G54" s="4"/>
      <c r="H54" s="5"/>
      <c r="J54" s="3"/>
      <c r="K54" s="4"/>
      <c r="L54" s="5"/>
      <c r="N54" s="3"/>
      <c r="O54" s="4"/>
      <c r="P54" s="5"/>
      <c r="R54" s="3"/>
      <c r="S54" s="4"/>
      <c r="T54" s="5"/>
      <c r="V54" s="3"/>
      <c r="W54" s="4"/>
      <c r="X54" s="5"/>
      <c r="Z54" s="3"/>
      <c r="AA54" s="4"/>
      <c r="AB54" s="5"/>
      <c r="AD54" s="3"/>
      <c r="AE54" s="4"/>
      <c r="AF54" s="5"/>
      <c r="AH54" s="3"/>
      <c r="AI54" s="4"/>
      <c r="AJ54" s="5"/>
      <c r="AL54" s="3"/>
      <c r="AM54" s="4"/>
      <c r="AN54" s="5"/>
    </row>
    <row r="55" spans="1:40" ht="9.9499999999999993" customHeight="1" x14ac:dyDescent="0.25">
      <c r="A55" s="23"/>
    </row>
    <row r="56" spans="1:40" x14ac:dyDescent="0.25">
      <c r="A56" s="23"/>
      <c r="B56" s="6">
        <f>SQRT(POWER((B51 - Point1_X),2) + POWER((C51 - Point1_Y),2) + POWER((D51 - Point1_Z),2))</f>
        <v>4.4142118209256793</v>
      </c>
      <c r="C56" s="7">
        <f>SQRT(POWER((F51 - Point2_X),2) + POWER((G51 - Point2_Y),2) + POWER((H51 - Point2_Z),2))</f>
        <v>8.3569851621263513</v>
      </c>
      <c r="D56" s="8">
        <f>SQRT(POWER((J51 - Point3_X),2) + POWER((K51 - Point3_Y),2) + POWER((L51 - Point3_Z),2))</f>
        <v>10.918168390348264</v>
      </c>
      <c r="F56" s="6">
        <f>SQRT(POWER((N51 - Point4_X),2) + POWER((O51 - Point4_Y),2) + POWER((P51 - Point4_Z),2))</f>
        <v>14.663724697361172</v>
      </c>
      <c r="G56" s="7">
        <f>SQRT(POWER((R51 - Point5_X),2) + POWER((S51 - Point5_Y),2) + POWER((T51 - Point5_Z),2))</f>
        <v>17.709701663212737</v>
      </c>
      <c r="H56" s="8">
        <f>SQRT(POWER((V51 - Point6_X),2) + POWER((W51 - Point6_Y),2) + POWER((X51 - Point6_Z),2))</f>
        <v>15.706743647236367</v>
      </c>
      <c r="J56" s="6">
        <f>SQRT(POWER((Z51 - Point7_X),2) + POWER((AA51 - Point7_Y),2) + POWER((AB51 - Point7_Z),2))</f>
        <v>15.078234810480968</v>
      </c>
      <c r="K56" s="7">
        <f>SQRT(POWER((AD51 - Point8_X),2) + POWER((AE51 - Point8_Y),2) + POWER((AF51 - Point8_Z),2))</f>
        <v>19.009574534954748</v>
      </c>
      <c r="L56" s="8">
        <f>SQRT(POWER((AH51 - Point9_X),2) + POWER((AI51 - Point9_Y),2) + POWER((AJ51 - Point9_Z),2))</f>
        <v>19.963272101536862</v>
      </c>
      <c r="N56" s="6">
        <f>SQRT(POWER((AL51 - Point10_X),2) + POWER((AM51 - Point10_Y),2) + POWER((AN51 - Point10_Z),2))</f>
        <v>21.960485923585573</v>
      </c>
      <c r="O56" s="7">
        <f>SQRT(POWER((B54 - Point11_X),2) + POWER((C54 - Point11_Y),2) + POWER((D54 - Point11_Z),2))</f>
        <v>23.266639228732629</v>
      </c>
      <c r="P56" s="8">
        <f>SQRT(POWER((F54 - Point12_X),2) + POWER((G54 - Point12_Y),2) + POWER((H54 - Point12_Zcorrect),2))</f>
        <v>24.712416089892951</v>
      </c>
      <c r="R56" s="6">
        <f>SQRT(POWER((J54 - Point13_X),2) + POWER((K54 - Point13_Y),2) + POWER((L54 - Point13_Z),2))</f>
        <v>26.31939835938504</v>
      </c>
      <c r="S56" s="7">
        <f>SQRT(POWER((N54 - Point14_X),2) + POWER((O54 - Point14_Y),2) + POWER((P54 - Point14_Z),2))</f>
        <v>30.508041644786054</v>
      </c>
      <c r="T56" s="8">
        <f>SQRT(POWER((R54 - Point15_X),2) + POWER((S54 - Point15_Y),2) + POWER((T54 - Point15_Z),2))</f>
        <v>35.552339810482231</v>
      </c>
      <c r="V56" s="6">
        <f>SQRT(POWER((V54 - Point16_X),2) + POWER((W54 - Point16_Y),2) + POWER((X54 - Point16_Z),2))</f>
        <v>32.108514104517511</v>
      </c>
      <c r="W56" s="7">
        <f>SQRT(POWER((Z54 - Point17_X),2) + POWER((AA54 - Point17_Y),2) + POWER((AB54 - Point17_Z),2))</f>
        <v>35.564996963306491</v>
      </c>
      <c r="X56" s="8">
        <f>SQRT(POWER((AD54 - Point18_X),2) + POWER((AE54 - Point18_Y),2) + POWER((AF54 - Point18_Z),2))</f>
        <v>26.235182541770126</v>
      </c>
      <c r="Z56" s="6">
        <f>SQRT(POWER((AH54 - Point19_X),2) + POWER((AI54 - Point19_Y),2) + POWER((AJ54 - Point19_Z),2))</f>
        <v>20.661362830171683</v>
      </c>
      <c r="AA56" s="8">
        <f>SQRT(POWER((AL54 - Point20_X),2) + POWER((AM54 - Point20_Y),2) + POWER((AN54 - Point20_Z),2))</f>
        <v>23.63896051014088</v>
      </c>
      <c r="AD56" s="9">
        <f>AVERAGE(B56:AA56)</f>
        <v>21.317447741747717</v>
      </c>
      <c r="AE56" s="10">
        <f>_xlfn.STDEV.P(B56:T56)</f>
        <v>7.9911975477468342</v>
      </c>
    </row>
    <row r="57" spans="1:40" ht="30" customHeight="1" x14ac:dyDescent="0.25">
      <c r="A57" s="1"/>
      <c r="B57">
        <v>1.59</v>
      </c>
    </row>
    <row r="58" spans="1:40" ht="15.75" customHeight="1" x14ac:dyDescent="0.25">
      <c r="A58" s="23" t="s">
        <v>29</v>
      </c>
      <c r="B58" s="20" t="s">
        <v>5</v>
      </c>
      <c r="C58" s="20"/>
      <c r="D58" s="20"/>
      <c r="E58" s="2"/>
      <c r="F58" s="20" t="s">
        <v>6</v>
      </c>
      <c r="G58" s="20"/>
      <c r="H58" s="20"/>
      <c r="I58" s="2"/>
      <c r="J58" s="20" t="s">
        <v>7</v>
      </c>
      <c r="K58" s="20"/>
      <c r="L58" s="20"/>
      <c r="M58" s="2"/>
      <c r="N58" s="20" t="s">
        <v>8</v>
      </c>
      <c r="O58" s="20"/>
      <c r="P58" s="20"/>
      <c r="Q58" s="2"/>
      <c r="R58" s="20" t="s">
        <v>9</v>
      </c>
      <c r="S58" s="20"/>
      <c r="T58" s="20"/>
      <c r="U58" s="2"/>
      <c r="V58" s="20" t="s">
        <v>10</v>
      </c>
      <c r="W58" s="20"/>
      <c r="X58" s="20"/>
      <c r="Y58" s="2"/>
      <c r="Z58" s="20" t="s">
        <v>11</v>
      </c>
      <c r="AA58" s="20"/>
      <c r="AB58" s="20"/>
      <c r="AC58" s="2"/>
      <c r="AD58" s="20" t="s">
        <v>12</v>
      </c>
      <c r="AE58" s="20"/>
      <c r="AF58" s="20"/>
      <c r="AG58" s="2"/>
      <c r="AH58" s="20" t="s">
        <v>13</v>
      </c>
      <c r="AI58" s="20"/>
      <c r="AJ58" s="20"/>
      <c r="AK58" s="2"/>
      <c r="AL58" s="20" t="s">
        <v>14</v>
      </c>
      <c r="AM58" s="20"/>
      <c r="AN58" s="20"/>
    </row>
    <row r="59" spans="1:40" x14ac:dyDescent="0.25">
      <c r="A59" s="23"/>
      <c r="B59" s="17">
        <v>7.6</v>
      </c>
      <c r="C59" s="18">
        <v>8.6</v>
      </c>
      <c r="D59" s="19">
        <v>5.5</v>
      </c>
      <c r="E59" s="16"/>
      <c r="F59" s="17">
        <v>6.85</v>
      </c>
      <c r="G59" s="18">
        <v>8.7200000000000006</v>
      </c>
      <c r="H59" s="19">
        <v>5.5</v>
      </c>
      <c r="I59" s="16"/>
      <c r="J59" s="17">
        <v>8.1</v>
      </c>
      <c r="K59" s="18">
        <v>11.58</v>
      </c>
      <c r="L59" s="19">
        <v>5.5</v>
      </c>
      <c r="M59" s="16"/>
      <c r="N59" s="17">
        <v>11.2</v>
      </c>
      <c r="O59" s="18">
        <v>8.99</v>
      </c>
      <c r="P59" s="19">
        <v>1.53</v>
      </c>
      <c r="Q59" s="16"/>
      <c r="R59" s="17">
        <v>8.5399999999999991</v>
      </c>
      <c r="S59" s="18">
        <v>10.48</v>
      </c>
      <c r="T59" s="19">
        <v>1.53</v>
      </c>
      <c r="U59" s="16"/>
      <c r="V59" s="17">
        <v>8.1999999999999993</v>
      </c>
      <c r="W59" s="18">
        <v>13.46</v>
      </c>
      <c r="X59" s="19">
        <v>1.53</v>
      </c>
      <c r="Y59" s="16"/>
      <c r="Z59" s="17">
        <v>6.8</v>
      </c>
      <c r="AA59" s="18">
        <v>10.4</v>
      </c>
      <c r="AB59" s="19">
        <v>1.4</v>
      </c>
      <c r="AC59" s="16"/>
      <c r="AD59" s="17">
        <v>2.17</v>
      </c>
      <c r="AE59" s="18">
        <v>16.45</v>
      </c>
      <c r="AF59" s="19">
        <v>1.4</v>
      </c>
      <c r="AG59" s="16"/>
      <c r="AH59" s="17">
        <v>0.8</v>
      </c>
      <c r="AI59" s="18">
        <v>18.399999999999999</v>
      </c>
      <c r="AJ59" s="19">
        <v>2</v>
      </c>
      <c r="AK59" s="16"/>
      <c r="AL59" s="17">
        <v>2.2999999999999998</v>
      </c>
      <c r="AM59" s="18">
        <v>17.05</v>
      </c>
      <c r="AN59" s="19">
        <v>2.4</v>
      </c>
    </row>
    <row r="60" spans="1:40" ht="9.9499999999999993" customHeight="1" x14ac:dyDescent="0.25">
      <c r="A60" s="23"/>
    </row>
    <row r="61" spans="1:40" ht="15.75" x14ac:dyDescent="0.25">
      <c r="A61" s="23"/>
      <c r="B61" s="20" t="s">
        <v>15</v>
      </c>
      <c r="C61" s="20"/>
      <c r="D61" s="20"/>
      <c r="E61" s="2"/>
      <c r="F61" s="20" t="s">
        <v>16</v>
      </c>
      <c r="G61" s="20"/>
      <c r="H61" s="20"/>
      <c r="I61" s="2"/>
      <c r="J61" s="20" t="s">
        <v>17</v>
      </c>
      <c r="K61" s="20"/>
      <c r="L61" s="20"/>
      <c r="M61" s="2"/>
      <c r="N61" s="20" t="s">
        <v>18</v>
      </c>
      <c r="O61" s="20"/>
      <c r="P61" s="20"/>
      <c r="Q61" s="2"/>
      <c r="R61" s="20" t="s">
        <v>19</v>
      </c>
      <c r="S61" s="20"/>
      <c r="T61" s="20"/>
      <c r="U61" s="2"/>
      <c r="V61" s="20" t="s">
        <v>20</v>
      </c>
      <c r="W61" s="20"/>
      <c r="X61" s="20"/>
      <c r="Y61" s="2"/>
      <c r="Z61" s="20" t="s">
        <v>21</v>
      </c>
      <c r="AA61" s="20"/>
      <c r="AB61" s="20"/>
      <c r="AC61" s="2"/>
      <c r="AD61" s="20" t="s">
        <v>22</v>
      </c>
      <c r="AE61" s="20"/>
      <c r="AF61" s="20"/>
      <c r="AG61" s="2"/>
      <c r="AH61" s="20" t="s">
        <v>23</v>
      </c>
      <c r="AI61" s="20"/>
      <c r="AJ61" s="20"/>
      <c r="AK61" s="2"/>
      <c r="AL61" s="20" t="s">
        <v>24</v>
      </c>
      <c r="AM61" s="20"/>
      <c r="AN61" s="20"/>
    </row>
    <row r="62" spans="1:40" x14ac:dyDescent="0.25">
      <c r="A62" s="23"/>
      <c r="B62" s="17">
        <v>12.8</v>
      </c>
      <c r="C62" s="18">
        <v>28.4</v>
      </c>
      <c r="D62" s="19">
        <v>7</v>
      </c>
      <c r="E62" s="16"/>
      <c r="F62" s="17">
        <v>19.899999999999999</v>
      </c>
      <c r="G62" s="18">
        <v>32.4</v>
      </c>
      <c r="H62" s="19">
        <v>7.2</v>
      </c>
      <c r="I62" s="16"/>
      <c r="J62" s="17">
        <v>21.2</v>
      </c>
      <c r="K62" s="18">
        <v>16.149999999999999</v>
      </c>
      <c r="L62" s="19">
        <v>8.1999999999999993</v>
      </c>
      <c r="M62" s="16"/>
      <c r="N62" s="17">
        <v>28.8</v>
      </c>
      <c r="O62" s="18">
        <v>25.3</v>
      </c>
      <c r="P62" s="19">
        <v>10</v>
      </c>
      <c r="Q62" s="16"/>
      <c r="R62" s="17">
        <v>32.32</v>
      </c>
      <c r="S62" s="18">
        <v>17.8</v>
      </c>
      <c r="T62" s="19">
        <v>7.3</v>
      </c>
      <c r="U62" s="16"/>
      <c r="V62" s="17">
        <v>31.5</v>
      </c>
      <c r="W62" s="18">
        <v>26.4</v>
      </c>
      <c r="X62" s="19">
        <v>6.2</v>
      </c>
      <c r="Y62" s="16"/>
      <c r="Z62" s="17">
        <v>30.72</v>
      </c>
      <c r="AA62" s="18">
        <v>24.2</v>
      </c>
      <c r="AB62" s="19">
        <v>6.1</v>
      </c>
      <c r="AC62" s="16"/>
      <c r="AD62" s="17">
        <v>26.5</v>
      </c>
      <c r="AE62" s="18">
        <v>19.920000000000002</v>
      </c>
      <c r="AF62" s="19">
        <v>8.23</v>
      </c>
      <c r="AG62" s="16"/>
      <c r="AH62" s="17">
        <v>21.92</v>
      </c>
      <c r="AI62" s="18">
        <v>7.83</v>
      </c>
      <c r="AJ62" s="19">
        <v>7.57</v>
      </c>
      <c r="AK62" s="16"/>
      <c r="AL62" s="17">
        <v>22.2</v>
      </c>
      <c r="AM62" s="18">
        <v>15.76</v>
      </c>
      <c r="AN62" s="19">
        <v>7.57</v>
      </c>
    </row>
    <row r="63" spans="1:40" ht="9.9499999999999993" customHeight="1" x14ac:dyDescent="0.25">
      <c r="A63" s="23"/>
    </row>
    <row r="64" spans="1:40" x14ac:dyDescent="0.25">
      <c r="A64" s="23"/>
      <c r="B64" s="6">
        <f>SQRT(POWER((B59 - Point1_X),2) + POWER((C59 - Point1_Y),2) + POWER((D59 - B57 - Point1_Z),2))</f>
        <v>8.3072550219672436</v>
      </c>
      <c r="C64" s="7">
        <f>SQRT(POWER((F59 - Point2_X),2) + POWER((G59 - Point2_Y),2) + POWER((H59- B57 - Point2_Z),2))</f>
        <v>5.7781139656465754</v>
      </c>
      <c r="D64" s="8">
        <f>SQRT(POWER((J59 - Point3_X),2) + POWER((K59 - Point3_Y),2) + POWER((L59 - B57- Point3_Z),2))</f>
        <v>5.0729657006528246</v>
      </c>
      <c r="F64" s="6">
        <f>SQRT(POWER((N59 - Point4_X),2) + POWER((O59 - Point4_Y),2) + POWER((P59 - B57- Point4_Z),2))</f>
        <v>4.2008334887257792</v>
      </c>
      <c r="G64" s="7">
        <f>SQRT(POWER((R59 - Point5_X),2) + POWER((S59 - Point5_Y),2) + POWER((T59- B57 - Point5_Z),2))</f>
        <v>6.117660745742608</v>
      </c>
      <c r="H64" s="8">
        <f>SQRT(POWER((V59 - Point6_X),2) + POWER((W59 - Point6_Y),2) + POWER((X59 - B57- Point6_Z),2))</f>
        <v>1.9774215534377093</v>
      </c>
      <c r="J64" s="6">
        <f>SQRT(POWER((Z59 - Point7_X),2) + POWER((AA59 - Point7_Y),2) + POWER((AB59 - B57- Point7_Z),2))</f>
        <v>3.9527895213380644</v>
      </c>
      <c r="K64" s="7">
        <f>SQRT(POWER((AD59 - Point8_X),2) + POWER((AE59 - Point8_Y),2) + POWER((AF59- B57 - Point8_Z),2))</f>
        <v>3.0670676549434006</v>
      </c>
      <c r="L64" s="8">
        <f>SQRT(POWER((AH59 - Point9_X),2) + POWER((AI59 - Point9_Y),2) + POWER((AJ59- B57 - Point9_Z),2))</f>
        <v>6.8882547136411851</v>
      </c>
      <c r="N64" s="6">
        <f>SQRT(POWER((AL59 - Point10_X),2) + POWER((AM59 - Point10_Y),2) + POWER((AN59 - B57- Point10_Z),2))</f>
        <v>9.7625960686694402</v>
      </c>
      <c r="O64" s="7">
        <f>SQRT(POWER((B62 - Point11_X),2) + POWER((C62 - Point11_Y),2) + POWER((D62- B57 - Point11_Z),2))</f>
        <v>10.034765617591672</v>
      </c>
      <c r="P64" s="8">
        <f>SQRT(POWER((F62 - Point12_X),2) + POWER((G62 - Point12_Y),2) + POWER((H62 - B57- Point12_Zcorrect),2))</f>
        <v>14.603487562907702</v>
      </c>
      <c r="R64" s="6">
        <f>SQRT(POWER((J62 - Point13_X),2) + POWER((K62 - Point13_Y),2) + POWER((L62 - B57- Point13_Z),2))</f>
        <v>4.3501643647108335</v>
      </c>
      <c r="S64" s="7">
        <f>SQRT(POWER((N62 - Point14_X),2) + POWER((O62 - Point14_Y),2) + POWER((P62- B57- Point14_Z),2))</f>
        <v>8.7937219082706957</v>
      </c>
      <c r="T64" s="8">
        <f>SQRT(POWER((R62 - Point15_X),2) + POWER((S62 - Point15_Y),2) + POWER((T62- B57 - Point15_Z),2))</f>
        <v>4.274569685945008</v>
      </c>
      <c r="V64" s="6">
        <f>SQRT(POWER((V62 - Point16_X),2) + POWER((W62 - Point16_Y),2) + POWER((X62- B57 - Point16_Z),2))</f>
        <v>10.907061840844213</v>
      </c>
      <c r="W64" s="7">
        <f>SQRT(POWER((Z62 - Point17_X),2) + POWER((AA62 - Point17_Y),2) + POWER((AB62- B57- Point17_Z),2))</f>
        <v>8.9163136441020292</v>
      </c>
      <c r="X64" s="8">
        <f>SQRT(POWER((AD62 - Point18_X),2) + POWER((AE62 - Point18_Y),2) + POWER((AF62- B57 - Point18_Z),2))</f>
        <v>10.50611455296391</v>
      </c>
      <c r="Z64" s="6">
        <f>SQRT(POWER((AH62 - Point19_X),2) + POWER((AI62 - Point19_Y),2) + POWER((AJ62 - B57- Point19_Z),2))</f>
        <v>4.4667520638602731</v>
      </c>
      <c r="AA64" s="8">
        <f>SQRT(POWER((AL62 - Point20_X),2) + POWER((AM62 - Point20_Y),2) + POWER((AN62- B57 - Point20_Z),2))</f>
        <v>4.4118991375596979</v>
      </c>
      <c r="AD64" s="9">
        <f>AVERAGE(B64:AA64)</f>
        <v>6.8194904406760433</v>
      </c>
      <c r="AE64" s="10">
        <f>_xlfn.STDEV.P(B64:T64)</f>
        <v>3.2017513939852673</v>
      </c>
    </row>
    <row r="65" spans="1:40" ht="30" customHeight="1" x14ac:dyDescent="0.25">
      <c r="A65" s="1"/>
      <c r="B65">
        <v>0.74</v>
      </c>
    </row>
    <row r="66" spans="1:40" ht="15.75" customHeight="1" x14ac:dyDescent="0.25">
      <c r="A66" s="23" t="s">
        <v>30</v>
      </c>
      <c r="B66" s="20" t="s">
        <v>5</v>
      </c>
      <c r="C66" s="20"/>
      <c r="D66" s="20"/>
      <c r="E66" s="2"/>
      <c r="F66" s="20" t="s">
        <v>6</v>
      </c>
      <c r="G66" s="20"/>
      <c r="H66" s="20"/>
      <c r="I66" s="2"/>
      <c r="J66" s="20" t="s">
        <v>7</v>
      </c>
      <c r="K66" s="20"/>
      <c r="L66" s="20"/>
      <c r="M66" s="2"/>
      <c r="N66" s="20" t="s">
        <v>8</v>
      </c>
      <c r="O66" s="20"/>
      <c r="P66" s="20"/>
      <c r="Q66" s="2"/>
      <c r="R66" s="20" t="s">
        <v>9</v>
      </c>
      <c r="S66" s="20"/>
      <c r="T66" s="20"/>
      <c r="U66" s="2"/>
      <c r="V66" s="20" t="s">
        <v>10</v>
      </c>
      <c r="W66" s="20"/>
      <c r="X66" s="20"/>
      <c r="Y66" s="2"/>
      <c r="Z66" s="20" t="s">
        <v>11</v>
      </c>
      <c r="AA66" s="20"/>
      <c r="AB66" s="20"/>
      <c r="AC66" s="2"/>
      <c r="AD66" s="20" t="s">
        <v>12</v>
      </c>
      <c r="AE66" s="20"/>
      <c r="AF66" s="20"/>
      <c r="AG66" s="2"/>
      <c r="AH66" s="20" t="s">
        <v>13</v>
      </c>
      <c r="AI66" s="20"/>
      <c r="AJ66" s="20"/>
      <c r="AK66" s="2"/>
      <c r="AL66" s="20" t="s">
        <v>14</v>
      </c>
      <c r="AM66" s="20"/>
      <c r="AN66" s="20"/>
    </row>
    <row r="67" spans="1:40" x14ac:dyDescent="0.25">
      <c r="A67" s="23"/>
      <c r="B67" s="3">
        <v>3.83</v>
      </c>
      <c r="C67" s="4">
        <v>2.4300000000000002</v>
      </c>
      <c r="D67" s="5">
        <v>0.73</v>
      </c>
      <c r="F67" s="3">
        <v>2.74</v>
      </c>
      <c r="G67" s="4">
        <v>8.67</v>
      </c>
      <c r="H67" s="5">
        <v>0.95</v>
      </c>
      <c r="J67" s="3">
        <v>7.87</v>
      </c>
      <c r="K67" s="4">
        <v>9.75</v>
      </c>
      <c r="L67" s="5">
        <v>0.67</v>
      </c>
      <c r="N67" s="3">
        <v>16.18</v>
      </c>
      <c r="O67" s="4">
        <v>5.5</v>
      </c>
      <c r="P67" s="5">
        <v>0.41</v>
      </c>
      <c r="R67" s="3">
        <v>17.55</v>
      </c>
      <c r="S67" s="4">
        <v>10.38</v>
      </c>
      <c r="T67" s="5">
        <v>0.53</v>
      </c>
      <c r="V67" s="3">
        <v>12.12</v>
      </c>
      <c r="W67" s="4">
        <v>13.5</v>
      </c>
      <c r="X67" s="5">
        <v>0.7</v>
      </c>
      <c r="Z67" s="3">
        <v>6.8</v>
      </c>
      <c r="AA67" s="4">
        <v>16.28</v>
      </c>
      <c r="AB67" s="5">
        <v>1.44</v>
      </c>
      <c r="AD67" s="3">
        <v>5.77</v>
      </c>
      <c r="AE67" s="4">
        <v>22.1</v>
      </c>
      <c r="AF67" s="5">
        <v>1.34</v>
      </c>
      <c r="AH67" s="3">
        <v>9.4700000000000006</v>
      </c>
      <c r="AI67" s="4">
        <v>21.63</v>
      </c>
      <c r="AJ67" s="5">
        <v>2.61</v>
      </c>
      <c r="AL67" s="3">
        <v>13.21</v>
      </c>
      <c r="AM67" s="4">
        <v>21.5</v>
      </c>
      <c r="AN67" s="5">
        <v>4.5199999999999996</v>
      </c>
    </row>
    <row r="68" spans="1:40" ht="9.9499999999999993" customHeight="1" x14ac:dyDescent="0.25">
      <c r="A68" s="23"/>
    </row>
    <row r="69" spans="1:40" ht="15.75" x14ac:dyDescent="0.25">
      <c r="A69" s="23"/>
      <c r="B69" s="20" t="s">
        <v>15</v>
      </c>
      <c r="C69" s="20"/>
      <c r="D69" s="20"/>
      <c r="E69" s="2"/>
      <c r="F69" s="20" t="s">
        <v>16</v>
      </c>
      <c r="G69" s="20"/>
      <c r="H69" s="20"/>
      <c r="I69" s="2"/>
      <c r="J69" s="20" t="s">
        <v>17</v>
      </c>
      <c r="K69" s="20"/>
      <c r="L69" s="20"/>
      <c r="M69" s="2"/>
      <c r="N69" s="20" t="s">
        <v>18</v>
      </c>
      <c r="O69" s="20"/>
      <c r="P69" s="20"/>
      <c r="Q69" s="2"/>
      <c r="R69" s="20" t="s">
        <v>19</v>
      </c>
      <c r="S69" s="20"/>
      <c r="T69" s="20"/>
      <c r="U69" s="2"/>
      <c r="V69" s="20" t="s">
        <v>20</v>
      </c>
      <c r="W69" s="20"/>
      <c r="X69" s="20"/>
      <c r="Y69" s="2"/>
      <c r="Z69" s="20" t="s">
        <v>21</v>
      </c>
      <c r="AA69" s="20"/>
      <c r="AB69" s="20"/>
      <c r="AC69" s="2"/>
      <c r="AD69" s="20" t="s">
        <v>22</v>
      </c>
      <c r="AE69" s="20"/>
      <c r="AF69" s="20"/>
      <c r="AG69" s="2"/>
      <c r="AH69" s="20" t="s">
        <v>23</v>
      </c>
      <c r="AI69" s="20"/>
      <c r="AJ69" s="20"/>
      <c r="AK69" s="2"/>
      <c r="AL69" s="20" t="s">
        <v>24</v>
      </c>
      <c r="AM69" s="20"/>
      <c r="AN69" s="20"/>
    </row>
    <row r="70" spans="1:40" x14ac:dyDescent="0.25">
      <c r="A70" s="23"/>
      <c r="B70" s="3">
        <v>15.33</v>
      </c>
      <c r="C70" s="4">
        <v>21.32</v>
      </c>
      <c r="D70" s="5">
        <v>5.72</v>
      </c>
      <c r="F70" s="3">
        <v>16.350000000000001</v>
      </c>
      <c r="G70" s="4">
        <v>21.5</v>
      </c>
      <c r="H70" s="5">
        <v>6.86</v>
      </c>
      <c r="J70" s="3">
        <v>15</v>
      </c>
      <c r="K70" s="4">
        <v>10</v>
      </c>
      <c r="L70" s="5">
        <v>3</v>
      </c>
      <c r="N70" s="3">
        <v>15</v>
      </c>
      <c r="O70" s="4">
        <v>10</v>
      </c>
      <c r="P70" s="5">
        <v>3</v>
      </c>
      <c r="R70" s="3">
        <v>15</v>
      </c>
      <c r="S70" s="4">
        <v>10</v>
      </c>
      <c r="T70" s="5">
        <v>3</v>
      </c>
      <c r="V70" s="3">
        <v>15</v>
      </c>
      <c r="W70" s="4">
        <v>10</v>
      </c>
      <c r="X70" s="5">
        <v>3</v>
      </c>
      <c r="Z70" s="3">
        <v>15</v>
      </c>
      <c r="AA70" s="4">
        <v>10</v>
      </c>
      <c r="AB70" s="5">
        <v>3</v>
      </c>
      <c r="AD70" s="3">
        <v>15</v>
      </c>
      <c r="AE70" s="4">
        <v>10</v>
      </c>
      <c r="AF70" s="5">
        <v>3</v>
      </c>
      <c r="AH70" s="3">
        <v>15</v>
      </c>
      <c r="AI70" s="4">
        <v>10</v>
      </c>
      <c r="AJ70" s="5">
        <v>3</v>
      </c>
      <c r="AL70" s="3">
        <v>15</v>
      </c>
      <c r="AM70" s="4">
        <v>10</v>
      </c>
      <c r="AN70" s="5">
        <v>3</v>
      </c>
    </row>
    <row r="71" spans="1:40" ht="9.9499999999999993" customHeight="1" x14ac:dyDescent="0.25">
      <c r="A71" s="23"/>
    </row>
    <row r="72" spans="1:40" x14ac:dyDescent="0.25">
      <c r="A72" s="23"/>
      <c r="B72" s="6">
        <f>SQRT(POWER((B67 - Point1_X),2) + POWER((C67 - Point1_Y),2) + POWER((D67 - B65 - Point1_Z),2))</f>
        <v>0.12395967086113142</v>
      </c>
      <c r="C72" s="7">
        <f>SQRT(POWER((F67 - Point2_X),2) + POWER((G67 - Point2_Y),2) + POWER((H67- B65 - Point2_Z),2))</f>
        <v>0.7794748231982862</v>
      </c>
      <c r="D72" s="8">
        <f>SQRT(POWER((J67 - Point3_X),2) + POWER((K67 - Point3_Y),2) + POWER((L67- B65 - Point3_Z),2))</f>
        <v>1.6521625222719467</v>
      </c>
      <c r="F72" s="6">
        <f>SQRT(POWER((N67 - Point4_X),2) + POWER((O67 - Point4_Y),2) + POWER((P67 - B65- Point4_Z),2))</f>
        <v>2.6224991897043552</v>
      </c>
      <c r="G72" s="7">
        <f>SQRT(POWER((R67 - Point5_X),2) + POWER((S67 - Point5_Y),2) + POWER((T67 - B65- Point5_Z),2))</f>
        <v>2.9510765832150154</v>
      </c>
      <c r="H72" s="8">
        <f>SQRT(POWER((V67 - Point6_X),2) + POWER((W67 - Point6_Y),2) + POWER((X67 - B65- Point6_Z),2))</f>
        <v>2.6305505127254243</v>
      </c>
      <c r="J72" s="6">
        <f>SQRT(POWER((Z67 - Point7_X),2) + POWER((AA67 - Point7_Y),2) + POWER((AB67- B65 - Point7_Z),2))</f>
        <v>2.7063564066840868</v>
      </c>
      <c r="K72" s="7">
        <f>SQRT(POWER((AD67 - Point8_X),2) + POWER((AE67 - Point8_Y),2) + POWER((AF67 - B65- Point8_Z),2))</f>
        <v>3.8985976966083586</v>
      </c>
      <c r="L72" s="8">
        <f>SQRT(POWER((AH67 - Point9_X),2) + POWER((AI67 - Point9_Y),2) + POWER((AJ67 - B65- Point9_Z),2))</f>
        <v>3.7568701068841861</v>
      </c>
      <c r="N72" s="6">
        <f>SQRT(POWER((AL67 - Point10_X),2) + POWER((AM67 - Point10_Y),2) + POWER((AN67- B65 - Point10_Z),2))</f>
        <v>3.5894152727150428</v>
      </c>
      <c r="O72" s="7">
        <f>SQRT(POWER((B70 - Point11_X),2) + POWER((C70 - Point11_Y),2) + POWER((D70- B65 - Point11_Z),2))</f>
        <v>3.4817382153171708</v>
      </c>
      <c r="P72" s="8">
        <f>SQRT(POWER((F70 - Point12_X),2) + POWER((G70 - Point12_Y),2) + POWER((H70 - B65- Point12_Zcorrect),2))</f>
        <v>3.2621141917474326</v>
      </c>
      <c r="R72" s="6">
        <f>SQRT(POWER((J70 - Point13_X),2) + POWER((K70 - Point13_Y),2) + POWER((L70 - Point13_Z),2))</f>
        <v>9.4847630439563435</v>
      </c>
      <c r="S72" s="7">
        <f>SQRT(POWER((N70 - Point14_X),2) + POWER((O70 - Point14_Y),2) + POWER((P70 - Point14_Z),2))</f>
        <v>12.514495794877236</v>
      </c>
      <c r="T72" s="8">
        <f>SQRT(POWER((R70 - Point15_X),2) + POWER((S70 - Point15_Y),2) + POWER((T70 - Point15_Z),2))</f>
        <v>17.286551593652216</v>
      </c>
      <c r="V72" s="6">
        <f>SQRT(POWER((V70 - Point16_X),2) + POWER((W70 - Point16_Y),2) + POWER((X70 - Point16_Z),2))</f>
        <v>13.865521194675665</v>
      </c>
      <c r="W72" s="7">
        <f>SQRT(POWER((Z70 - Point17_X),2) + POWER((AA70 - Point17_Y),2) + POWER((AB70 - Point17_Z),2))</f>
        <v>17.600994545763601</v>
      </c>
      <c r="X72" s="8">
        <f>SQRT(POWER((AD70 - Point18_X),2) + POWER((AE70 - Point18_Y),2) + POWER((AF70 - Point18_Z),2))</f>
        <v>9.082554871840852</v>
      </c>
      <c r="Z72" s="6">
        <f>SQRT(POWER((AH70 - Point19_X),2) + POWER((AI70 - Point19_Y),2) + POWER((AJ70 - Point19_Z),2))</f>
        <v>4.1844849145384675</v>
      </c>
      <c r="AA72" s="8">
        <f>SQRT(POWER((AL70 - Point20_X),2) + POWER((AM70 - Point20_Y),2) + POWER((AN70 - Point20_Z),2))</f>
        <v>5.8036586736299363</v>
      </c>
      <c r="AD72" s="9">
        <f>AVERAGE(B72:AA72)</f>
        <v>6.063891991243338</v>
      </c>
      <c r="AE72" s="10">
        <f>_xlfn.STDEV.P(B72:T72)</f>
        <v>4.5455215548522299</v>
      </c>
    </row>
    <row r="73" spans="1:40" ht="30" customHeight="1" x14ac:dyDescent="0.25">
      <c r="A73" s="1"/>
    </row>
    <row r="74" spans="1:40" ht="15.75" customHeight="1" x14ac:dyDescent="0.25">
      <c r="A74" s="23" t="s">
        <v>31</v>
      </c>
      <c r="B74" s="20" t="s">
        <v>5</v>
      </c>
      <c r="C74" s="20"/>
      <c r="D74" s="20"/>
      <c r="E74" s="2"/>
      <c r="F74" s="20" t="s">
        <v>6</v>
      </c>
      <c r="G74" s="20"/>
      <c r="H74" s="20"/>
      <c r="I74" s="2"/>
      <c r="J74" s="20" t="s">
        <v>7</v>
      </c>
      <c r="K74" s="20"/>
      <c r="L74" s="20"/>
      <c r="M74" s="2"/>
      <c r="N74" s="20" t="s">
        <v>8</v>
      </c>
      <c r="O74" s="20"/>
      <c r="P74" s="20"/>
      <c r="Q74" s="2"/>
      <c r="R74" s="20" t="s">
        <v>9</v>
      </c>
      <c r="S74" s="20"/>
      <c r="T74" s="20"/>
      <c r="U74" s="2"/>
      <c r="V74" s="20" t="s">
        <v>10</v>
      </c>
      <c r="W74" s="20"/>
      <c r="X74" s="20"/>
      <c r="Y74" s="2"/>
      <c r="Z74" s="20" t="s">
        <v>11</v>
      </c>
      <c r="AA74" s="20"/>
      <c r="AB74" s="20"/>
      <c r="AC74" s="2"/>
      <c r="AD74" s="20" t="s">
        <v>12</v>
      </c>
      <c r="AE74" s="20"/>
      <c r="AF74" s="20"/>
      <c r="AG74" s="2"/>
      <c r="AH74" s="20" t="s">
        <v>13</v>
      </c>
      <c r="AI74" s="20"/>
      <c r="AJ74" s="20"/>
      <c r="AK74" s="2"/>
      <c r="AL74" s="20" t="s">
        <v>14</v>
      </c>
      <c r="AM74" s="20"/>
      <c r="AN74" s="20"/>
    </row>
    <row r="75" spans="1:40" x14ac:dyDescent="0.25">
      <c r="A75" s="23"/>
      <c r="B75" s="3">
        <v>3.71</v>
      </c>
      <c r="C75" s="4">
        <v>2.36</v>
      </c>
      <c r="D75" s="5">
        <v>0.01</v>
      </c>
      <c r="F75" s="3">
        <v>2.66</v>
      </c>
      <c r="G75" s="4">
        <v>7.92</v>
      </c>
      <c r="H75" s="5">
        <v>0</v>
      </c>
      <c r="J75" s="3">
        <v>6.6</v>
      </c>
      <c r="K75" s="4">
        <v>8.6999999999999993</v>
      </c>
      <c r="L75" s="5">
        <v>0.01</v>
      </c>
      <c r="N75" s="3">
        <v>13.6</v>
      </c>
      <c r="O75" s="4">
        <v>5.51</v>
      </c>
      <c r="P75" s="5">
        <v>0.03</v>
      </c>
      <c r="R75" s="3">
        <v>14.65</v>
      </c>
      <c r="S75" s="4">
        <v>9.9700000000000006</v>
      </c>
      <c r="T75" s="5">
        <v>0.03</v>
      </c>
      <c r="V75" s="3">
        <v>9.8000000000000007</v>
      </c>
      <c r="W75" s="4">
        <v>12.29</v>
      </c>
      <c r="X75" s="5">
        <v>0.03</v>
      </c>
      <c r="Z75" s="3">
        <v>5.39</v>
      </c>
      <c r="AA75" s="4">
        <v>14.08</v>
      </c>
      <c r="AB75" s="5">
        <v>0.01</v>
      </c>
      <c r="AD75" s="3">
        <v>4.45</v>
      </c>
      <c r="AE75" s="4">
        <v>18.47</v>
      </c>
      <c r="AF75" s="5">
        <v>0</v>
      </c>
      <c r="AH75" s="3">
        <v>7.61</v>
      </c>
      <c r="AI75" s="4">
        <v>18.41</v>
      </c>
      <c r="AJ75" s="5">
        <v>1.35</v>
      </c>
      <c r="AL75" s="3">
        <v>11.7</v>
      </c>
      <c r="AM75" s="4">
        <v>18.350000000000001</v>
      </c>
      <c r="AN75" s="5">
        <v>3</v>
      </c>
    </row>
    <row r="76" spans="1:40" ht="9.9499999999999993" customHeight="1" x14ac:dyDescent="0.25">
      <c r="A76" s="23"/>
    </row>
    <row r="77" spans="1:40" ht="15.75" x14ac:dyDescent="0.25">
      <c r="A77" s="23"/>
      <c r="B77" s="20" t="s">
        <v>15</v>
      </c>
      <c r="C77" s="20"/>
      <c r="D77" s="20"/>
      <c r="E77" s="2"/>
      <c r="F77" s="20" t="s">
        <v>16</v>
      </c>
      <c r="G77" s="20"/>
      <c r="H77" s="20"/>
      <c r="I77" s="2"/>
      <c r="J77" s="20" t="s">
        <v>17</v>
      </c>
      <c r="K77" s="20"/>
      <c r="L77" s="20"/>
      <c r="M77" s="2"/>
      <c r="N77" s="20" t="s">
        <v>18</v>
      </c>
      <c r="O77" s="20"/>
      <c r="P77" s="20"/>
      <c r="Q77" s="2"/>
      <c r="R77" s="20" t="s">
        <v>19</v>
      </c>
      <c r="S77" s="20"/>
      <c r="T77" s="20"/>
      <c r="U77" s="2"/>
      <c r="V77" s="20" t="s">
        <v>20</v>
      </c>
      <c r="W77" s="20"/>
      <c r="X77" s="20"/>
      <c r="Y77" s="2"/>
      <c r="Z77" s="20" t="s">
        <v>21</v>
      </c>
      <c r="AA77" s="20"/>
      <c r="AB77" s="20"/>
      <c r="AC77" s="2"/>
      <c r="AD77" s="20" t="s">
        <v>22</v>
      </c>
      <c r="AE77" s="20"/>
      <c r="AF77" s="20"/>
      <c r="AG77" s="2"/>
      <c r="AH77" s="20" t="s">
        <v>23</v>
      </c>
      <c r="AI77" s="20"/>
      <c r="AJ77" s="20"/>
      <c r="AK77" s="2"/>
      <c r="AL77" s="20" t="s">
        <v>24</v>
      </c>
      <c r="AM77" s="20"/>
      <c r="AN77" s="20"/>
    </row>
    <row r="78" spans="1:40" x14ac:dyDescent="0.25">
      <c r="A78" s="23"/>
      <c r="B78" s="3">
        <v>13.49</v>
      </c>
      <c r="C78" s="4">
        <v>18.489999999999998</v>
      </c>
      <c r="D78" s="5">
        <v>4.07</v>
      </c>
      <c r="F78" s="3">
        <v>15.56</v>
      </c>
      <c r="G78" s="4">
        <v>18.47</v>
      </c>
      <c r="H78" s="5">
        <v>5.29</v>
      </c>
      <c r="J78" s="3">
        <v>17.63</v>
      </c>
      <c r="K78" s="4">
        <v>18.57</v>
      </c>
      <c r="L78" s="5">
        <v>6.14</v>
      </c>
      <c r="N78" s="3">
        <v>22.97</v>
      </c>
      <c r="O78" s="4">
        <v>19.16</v>
      </c>
      <c r="P78" s="5">
        <v>6.15</v>
      </c>
      <c r="R78" s="3">
        <v>28.72</v>
      </c>
      <c r="S78" s="4">
        <v>20.04</v>
      </c>
      <c r="T78" s="5">
        <v>6.17</v>
      </c>
      <c r="V78" s="3">
        <v>26.76</v>
      </c>
      <c r="W78" s="4">
        <v>16.690000000000001</v>
      </c>
      <c r="X78" s="5">
        <v>6.14</v>
      </c>
      <c r="Z78" s="3">
        <v>31.45</v>
      </c>
      <c r="AA78" s="4">
        <v>15.46</v>
      </c>
      <c r="AB78" s="5">
        <v>6.08</v>
      </c>
      <c r="AD78" s="3">
        <v>23.52</v>
      </c>
      <c r="AE78" s="4">
        <v>9.85</v>
      </c>
      <c r="AF78" s="5">
        <v>6.12</v>
      </c>
      <c r="AH78" s="3">
        <v>17.600000000000001</v>
      </c>
      <c r="AI78" s="4">
        <v>8.93</v>
      </c>
      <c r="AJ78" s="5">
        <v>6.16</v>
      </c>
      <c r="AL78" s="3">
        <v>18.39</v>
      </c>
      <c r="AM78" s="4">
        <v>13.55</v>
      </c>
      <c r="AN78" s="5">
        <v>6.14</v>
      </c>
    </row>
    <row r="79" spans="1:40" ht="9.9499999999999993" customHeight="1" x14ac:dyDescent="0.25">
      <c r="A79" s="23"/>
    </row>
    <row r="80" spans="1:40" x14ac:dyDescent="0.25">
      <c r="A80" s="23"/>
      <c r="B80" s="6">
        <f>SQRT(POWER((B75 - Point1_X),2) + POWER((C75 - Point1_Y),2) + POWER((D75 - Point1_Z),2))</f>
        <v>2.2934689882359381E-2</v>
      </c>
      <c r="C80" s="7">
        <f>SQRT(POWER((F75 - Point2_X),2) + POWER((G75 - Point2_Y),2) + POWER((H75 - Point2_Z),2))</f>
        <v>9.0000000000000392E-3</v>
      </c>
      <c r="D80" s="8">
        <f>SQRT(POWER((J75 - Point3_X),2) + POWER((K75 - Point3_Y),2) + POWER((L75 - Point3_Z),2))</f>
        <v>4.5825756949556228E-3</v>
      </c>
      <c r="F80" s="6">
        <f>SQRT(POWER((N75 - Point4_X),2) + POWER((O75 - Point4_Y),2) + POWER((P75 - Point4_Z),2))</f>
        <v>2.969848480983539E-2</v>
      </c>
      <c r="G80" s="7">
        <f>SQRT(POWER((R75 - Point5_X),2) + POWER((S75 - Point5_Y),2) + POWER((T75 - Point5_Z),2))</f>
        <v>2.1283796653793475E-2</v>
      </c>
      <c r="H80" s="8">
        <f>SQRT(POWER((V75 - Point6_X),2) + POWER((W75 - Point6_Y),2) + POWER((X75 - Point6_Z),2))</f>
        <v>2.0880613017820918E-2</v>
      </c>
      <c r="J80" s="6">
        <f>SQRT(POWER((Z75 - Point7_X),2) + POWER((AA75 - Point7_Y),2) + POWER((AB75 - Point7_Z),2))</f>
        <v>1.6881943016134368E-2</v>
      </c>
      <c r="K80" s="7">
        <f>SQRT(POWER((AD75 - Point8_X),2) + POWER((AE75 - Point8_Y),2) + POWER((AF75 - Point8_Z),2))</f>
        <v>2.0099751242243006E-2</v>
      </c>
      <c r="L80" s="8">
        <f>SQRT(POWER((AH75 - Point9_X),2) + POWER((AI75 - Point9_Y),2) + POWER((AJ75 - Point9_Z),2))</f>
        <v>2.4351591323771987E-2</v>
      </c>
      <c r="N80" s="6">
        <f>SQRT(POWER((AL75 - Point10_X),2) + POWER((AM75 - Point10_Y),2) + POWER((AN75 - Point10_Z),2))</f>
        <v>4.2918527467752189E-2</v>
      </c>
      <c r="O80" s="7">
        <f>SQRT(POWER((B78 - Point11_X),2) + POWER((C78 - Point11_Y),2) + POWER((D78 - Point11_Z),2))</f>
        <v>5.3860932037981611E-2</v>
      </c>
      <c r="P80" s="8">
        <f>SQRT(POWER((F78 - Point12_X),2) + POWER((G78 - Point12_Y),2) + POWER((H78 - Point12_Zcorrect),2))</f>
        <v>5.6471231613981307E-2</v>
      </c>
      <c r="R80" s="6">
        <f>SQRT(POWER((J78 - Point13_X),2) + POWER((K78 - Point13_Y),2) + POWER((L78 - Point13_Z),2))</f>
        <v>4.5497252664309269E-2</v>
      </c>
      <c r="S80" s="7">
        <f>SQRT(POWER((N78 - Point14_X),2) + POWER((O78 - Point14_Y),2) + POWER((P78 - Point14_Z),2))</f>
        <v>4.8631265663150514E-2</v>
      </c>
      <c r="T80" s="8">
        <f>SQRT(POWER((R78 - Point15_X),2) + POWER((S78 - Point15_Y),2) + POWER((T78 - Point15_Z),2))</f>
        <v>4.3657759905886689E-2</v>
      </c>
      <c r="V80" s="6">
        <f>SQRT(POWER((V78 - Point16_X),2) + POWER((W78 - Point16_Y),2) + POWER((X78 - Point16_Z),2))</f>
        <v>4.5365184888854139E-2</v>
      </c>
      <c r="W80" s="7">
        <f>SQRT(POWER((Z78 - Point17_X),2) + POWER((AA78 - Point17_Y),2) + POWER((AB78 - Point17_Z),2))</f>
        <v>3.0149626863362398E-2</v>
      </c>
      <c r="X80" s="8">
        <f>SQRT(POWER((AD78 - Point18_X),2) + POWER((AE78 - Point18_Y),2) + POWER((AF78 - Point18_Z),2))</f>
        <v>2.9034462281915523E-2</v>
      </c>
      <c r="Z80" s="6">
        <f>SQRT(POWER((AH78 - Point19_X),2) + POWER((AI78 - Point19_Y),2) + POWER((AJ78 - Point19_Z),2))</f>
        <v>5.4717456081217822E-2</v>
      </c>
      <c r="AA80" s="8">
        <f>SQRT(POWER((AL78 - Point20_X),2) + POWER((AM78 - Point20_Y),2) + POWER((AN78 - Point20_Z),2))</f>
        <v>4.5321076774498759E-2</v>
      </c>
      <c r="AD80" s="9">
        <f>AVERAGE(B80:AA80)</f>
        <v>3.326691109419122E-2</v>
      </c>
      <c r="AE80" s="10">
        <f>_xlfn.STDEV.P(B80:T80)</f>
        <v>1.5919108724755666E-2</v>
      </c>
    </row>
    <row r="81" spans="1:40" ht="30" customHeight="1" x14ac:dyDescent="0.25">
      <c r="A81" s="1"/>
    </row>
    <row r="82" spans="1:40" ht="15.75" customHeight="1" x14ac:dyDescent="0.25">
      <c r="A82" s="23" t="s">
        <v>32</v>
      </c>
      <c r="B82" s="20" t="s">
        <v>5</v>
      </c>
      <c r="C82" s="20"/>
      <c r="D82" s="20"/>
      <c r="E82" s="2"/>
      <c r="F82" s="20" t="s">
        <v>6</v>
      </c>
      <c r="G82" s="20"/>
      <c r="H82" s="20"/>
      <c r="I82" s="2"/>
      <c r="J82" s="20" t="s">
        <v>7</v>
      </c>
      <c r="K82" s="20"/>
      <c r="L82" s="20"/>
      <c r="M82" s="2"/>
      <c r="N82" s="20" t="s">
        <v>8</v>
      </c>
      <c r="O82" s="20"/>
      <c r="P82" s="20"/>
      <c r="Q82" s="2"/>
      <c r="R82" s="20" t="s">
        <v>9</v>
      </c>
      <c r="S82" s="20"/>
      <c r="T82" s="20"/>
      <c r="U82" s="2"/>
      <c r="V82" s="20" t="s">
        <v>10</v>
      </c>
      <c r="W82" s="20"/>
      <c r="X82" s="20"/>
      <c r="Y82" s="2"/>
      <c r="Z82" s="20" t="s">
        <v>11</v>
      </c>
      <c r="AA82" s="20"/>
      <c r="AB82" s="20"/>
      <c r="AC82" s="2"/>
      <c r="AD82" s="20" t="s">
        <v>12</v>
      </c>
      <c r="AE82" s="20"/>
      <c r="AF82" s="20"/>
      <c r="AG82" s="2"/>
      <c r="AH82" s="20" t="s">
        <v>13</v>
      </c>
      <c r="AI82" s="20"/>
      <c r="AJ82" s="20"/>
      <c r="AK82" s="2"/>
      <c r="AL82" s="20" t="s">
        <v>14</v>
      </c>
      <c r="AM82" s="20"/>
      <c r="AN82" s="20"/>
    </row>
    <row r="83" spans="1:40" x14ac:dyDescent="0.25">
      <c r="A83" s="23"/>
      <c r="B83" s="3">
        <v>3.8</v>
      </c>
      <c r="C83" s="4">
        <v>2.42</v>
      </c>
      <c r="D83" s="5">
        <v>0.05</v>
      </c>
      <c r="F83" s="3">
        <v>2.79</v>
      </c>
      <c r="G83" s="4">
        <v>7.72</v>
      </c>
      <c r="H83" s="5">
        <v>7.0000000000000007E-2</v>
      </c>
      <c r="J83" s="3">
        <v>6.58</v>
      </c>
      <c r="K83" s="4">
        <v>8.77</v>
      </c>
      <c r="L83" s="5">
        <v>-1.2E-2</v>
      </c>
      <c r="N83" s="3">
        <v>13.65</v>
      </c>
      <c r="O83" s="4">
        <v>5.76</v>
      </c>
      <c r="P83" s="5">
        <v>0.09</v>
      </c>
      <c r="R83" s="3">
        <v>14.6</v>
      </c>
      <c r="S83" s="4">
        <v>9.98</v>
      </c>
      <c r="T83" s="5">
        <v>-0.04</v>
      </c>
      <c r="V83" s="3">
        <v>9.8000000000000007</v>
      </c>
      <c r="W83" s="4">
        <v>12.28</v>
      </c>
      <c r="X83" s="5">
        <v>-0.11</v>
      </c>
      <c r="Z83" s="3">
        <v>5.37</v>
      </c>
      <c r="AA83" s="4">
        <v>14.03</v>
      </c>
      <c r="AB83" s="5">
        <v>0</v>
      </c>
      <c r="AD83" s="3">
        <v>4.42</v>
      </c>
      <c r="AE83" s="4">
        <v>18.27</v>
      </c>
      <c r="AF83" s="5">
        <v>0.06</v>
      </c>
      <c r="AH83" s="3">
        <v>7.51</v>
      </c>
      <c r="AI83" s="4">
        <v>18.59</v>
      </c>
      <c r="AJ83" s="5">
        <v>1.1299999999999999</v>
      </c>
      <c r="AL83" s="3">
        <v>11.52</v>
      </c>
      <c r="AM83" s="4">
        <v>18.350000000000001</v>
      </c>
      <c r="AN83" s="5">
        <v>2.83</v>
      </c>
    </row>
    <row r="84" spans="1:40" ht="9.9499999999999993" customHeight="1" x14ac:dyDescent="0.25">
      <c r="A84" s="23"/>
    </row>
    <row r="85" spans="1:40" ht="15.75" x14ac:dyDescent="0.25">
      <c r="A85" s="23"/>
      <c r="B85" s="20" t="s">
        <v>15</v>
      </c>
      <c r="C85" s="20"/>
      <c r="D85" s="20"/>
      <c r="E85" s="2"/>
      <c r="F85" s="20" t="s">
        <v>16</v>
      </c>
      <c r="G85" s="20"/>
      <c r="H85" s="20"/>
      <c r="I85" s="2"/>
      <c r="J85" s="20" t="s">
        <v>17</v>
      </c>
      <c r="K85" s="20"/>
      <c r="L85" s="20"/>
      <c r="M85" s="2"/>
      <c r="N85" s="20" t="s">
        <v>18</v>
      </c>
      <c r="O85" s="20"/>
      <c r="P85" s="20"/>
      <c r="Q85" s="2"/>
      <c r="R85" s="20" t="s">
        <v>19</v>
      </c>
      <c r="S85" s="20"/>
      <c r="T85" s="20"/>
      <c r="U85" s="2"/>
      <c r="V85" s="20" t="s">
        <v>20</v>
      </c>
      <c r="W85" s="20"/>
      <c r="X85" s="20"/>
      <c r="Y85" s="2"/>
      <c r="Z85" s="20" t="s">
        <v>21</v>
      </c>
      <c r="AA85" s="20"/>
      <c r="AB85" s="20"/>
      <c r="AC85" s="2"/>
      <c r="AD85" s="20" t="s">
        <v>22</v>
      </c>
      <c r="AE85" s="20"/>
      <c r="AF85" s="20"/>
      <c r="AG85" s="2"/>
      <c r="AH85" s="20" t="s">
        <v>23</v>
      </c>
      <c r="AI85" s="20"/>
      <c r="AJ85" s="20"/>
      <c r="AK85" s="2"/>
      <c r="AL85" s="20" t="s">
        <v>24</v>
      </c>
      <c r="AM85" s="20"/>
      <c r="AN85" s="20"/>
    </row>
    <row r="86" spans="1:40" x14ac:dyDescent="0.25">
      <c r="A86" s="23"/>
      <c r="B86" s="3">
        <v>13.2</v>
      </c>
      <c r="C86" s="4">
        <v>18.36</v>
      </c>
      <c r="D86" s="5">
        <v>3.85</v>
      </c>
      <c r="F86" s="3">
        <v>15.6</v>
      </c>
      <c r="G86" s="4">
        <v>18.420000000000002</v>
      </c>
      <c r="H86" s="5">
        <v>5.04</v>
      </c>
      <c r="J86" s="3">
        <v>17.649999999999999</v>
      </c>
      <c r="K86" s="4">
        <v>18.59</v>
      </c>
      <c r="L86" s="5">
        <v>6.18</v>
      </c>
      <c r="N86" s="3">
        <v>22.89</v>
      </c>
      <c r="O86" s="4">
        <v>19.149999999999999</v>
      </c>
      <c r="P86" s="5">
        <v>6.03</v>
      </c>
      <c r="R86" s="3">
        <v>28.6</v>
      </c>
      <c r="S86" s="4">
        <v>20.09</v>
      </c>
      <c r="T86" s="5">
        <v>6.06</v>
      </c>
      <c r="V86" s="3">
        <v>26.69</v>
      </c>
      <c r="W86" s="4">
        <v>16.760000000000002</v>
      </c>
      <c r="X86" s="5">
        <v>6.11</v>
      </c>
      <c r="Z86" s="3">
        <v>31.07</v>
      </c>
      <c r="AA86" s="4">
        <v>15.55</v>
      </c>
      <c r="AB86" s="5">
        <v>6.15</v>
      </c>
      <c r="AD86" s="3">
        <v>23.5</v>
      </c>
      <c r="AE86" s="4">
        <v>9.9</v>
      </c>
      <c r="AF86" s="5">
        <v>6.19</v>
      </c>
      <c r="AH86" s="3">
        <v>17.600000000000001</v>
      </c>
      <c r="AI86" s="4">
        <v>8.92</v>
      </c>
      <c r="AJ86" s="5">
        <v>6.15</v>
      </c>
      <c r="AL86" s="3">
        <v>18.309999999999999</v>
      </c>
      <c r="AM86" s="4">
        <v>13.55</v>
      </c>
      <c r="AN86" s="5">
        <v>6.04</v>
      </c>
    </row>
    <row r="87" spans="1:40" ht="9.9499999999999993" customHeight="1" x14ac:dyDescent="0.25">
      <c r="A87" s="23"/>
    </row>
    <row r="88" spans="1:40" x14ac:dyDescent="0.25">
      <c r="A88" s="23"/>
      <c r="B88" s="6">
        <f>SQRT(POWER((B83 - Point1_X),2) + POWER((C83 - Point1_Y),2) + POWER((D83 - Point1_Z),2))</f>
        <v>0.10259629622944469</v>
      </c>
      <c r="C88" s="7">
        <f>SQRT(POWER((F83 - Point2_X),2) + POWER((G83 - Point2_Y),2) + POWER((H83 - Point2_Z),2))</f>
        <v>0.24519584009521894</v>
      </c>
      <c r="D88" s="8">
        <f>SQRT(POWER((J83 - Point3_X),2) + POWER((K83 - Point3_Y),2) + POWER((L83 - Point3_Z),2))</f>
        <v>7.7723870207291879E-2</v>
      </c>
      <c r="F88" s="6">
        <f>SQRT(POWER((N83 - Point4_X),2) + POWER((O83 - Point4_Y),2) + POWER((P83 - Point4_Z),2))</f>
        <v>0.25040367409445075</v>
      </c>
      <c r="G88" s="7">
        <f>SQRT(POWER((R83 - Point5_X),2) + POWER((S83 - Point5_Y),2) + POWER((T83 - Point5_Z),2))</f>
        <v>6.5520989003524488E-2</v>
      </c>
      <c r="H88" s="8">
        <f>SQRT(POWER((V83 - Point6_X),2) + POWER((W83 - Point6_Y),2) + POWER((X83 - Point6_Z),2))</f>
        <v>0.12464349160706314</v>
      </c>
      <c r="J88" s="6">
        <f>SQRT(POWER((Z83 - Point7_X),2) + POWER((AA83 - Point7_Y),2) + POWER((AB83 - Point7_Z),2))</f>
        <v>5.6435804238091213E-2</v>
      </c>
      <c r="K88" s="7">
        <f>SQRT(POWER((AD83 - Point8_X),2) + POWER((AE83 - Point8_Y),2) + POWER((AF83 - Point8_Z),2))</f>
        <v>0.2244638055455731</v>
      </c>
      <c r="L88" s="8">
        <f>SQRT(POWER((AH83 - Point9_X),2) + POWER((AI83 - Point9_Y),2) + POWER((AJ83 - Point9_Z),2))</f>
        <v>0.30131876808456559</v>
      </c>
      <c r="N88" s="6">
        <f>SQRT(POWER((AL83 - Point10_X),2) + POWER((AM83 - Point10_Y),2) + POWER((AN83 - Point10_Z),2))</f>
        <v>0.28149955594991732</v>
      </c>
      <c r="O88" s="7">
        <f>SQRT(POWER((B86 - Point11_X),2) + POWER((C86 - Point11_Y),2) + POWER((D86 - Point11_Z),2))</f>
        <v>0.40875542809851606</v>
      </c>
      <c r="P88" s="8">
        <f>SQRT(POWER((F86 - Point12_X),2) + POWER((G86 - Point12_Y),2) + POWER((H86 - Point12_Zcorrect),2))</f>
        <v>0.20255616505058538</v>
      </c>
      <c r="R88" s="6">
        <f>SQRT(POWER((J86 - Point13_X),2) + POWER((K86 - Point13_Y),2) + POWER((L86 - Point13_Z),2))</f>
        <v>9.0498618773989944E-2</v>
      </c>
      <c r="S88" s="7">
        <f>SQRT(POWER((N86 - Point14_X),2) + POWER((O86 - Point14_Y),2) + POWER((P86 - Point14_Z),2))</f>
        <v>9.6150923032491148E-2</v>
      </c>
      <c r="T88" s="8">
        <f>SQRT(POWER((R86 - Point15_X),2) + POWER((S86 - Point15_Y),2) + POWER((T86 - Point15_Z),2))</f>
        <v>0.13611024943037672</v>
      </c>
      <c r="V88" s="6">
        <f>SQRT(POWER((V86 - Point16_X),2) + POWER((W86 - Point16_Y),2) + POWER((X86 - Point16_Z),2))</f>
        <v>6.7808554032660603E-2</v>
      </c>
      <c r="W88" s="7">
        <f>SQRT(POWER((Z86 - Point17_X),2) + POWER((AA86 - Point17_Y),2) + POWER((AB86 - Point17_Z),2))</f>
        <v>0.38539460297207079</v>
      </c>
      <c r="X88" s="8">
        <f>SQRT(POWER((AD86 - Point18_X),2) + POWER((AE86 - Point18_Y),2) + POWER((AF86 - Point18_Z),2))</f>
        <v>0.10974060324237296</v>
      </c>
      <c r="Z88" s="6">
        <f>SQRT(POWER((AH86 - Point19_X),2) + POWER((AI86 - Point19_Y),2) + POWER((AJ86 - Point19_Z),2))</f>
        <v>4.8928519290900363E-2</v>
      </c>
      <c r="AA88" s="8">
        <f>SQRT(POWER((AL86 - Point20_X),2) + POWER((AM86 - Point20_Y),2) + POWER((AN86 - Point20_Z),2))</f>
        <v>8.9297256396823219E-2</v>
      </c>
      <c r="AD88" s="9">
        <f>AVERAGE(B88:AA88)</f>
        <v>0.16825215076879635</v>
      </c>
      <c r="AE88" s="10">
        <f>_xlfn.STDEV.P(B88:T88)</f>
        <v>0.10126287211522306</v>
      </c>
    </row>
    <row r="89" spans="1:40" ht="30" customHeight="1" x14ac:dyDescent="0.25">
      <c r="A89" s="1"/>
    </row>
    <row r="90" spans="1:40" ht="30" customHeight="1" x14ac:dyDescent="0.25">
      <c r="A90" s="1"/>
    </row>
    <row r="91" spans="1:40" x14ac:dyDescent="0.25">
      <c r="A91" s="1"/>
    </row>
    <row r="92" spans="1:40" ht="18.75" x14ac:dyDescent="0.3">
      <c r="A92" s="1"/>
      <c r="B92" s="22" t="s">
        <v>33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</row>
    <row r="93" spans="1:40" ht="9.9499999999999993" customHeight="1" x14ac:dyDescent="0.25"/>
    <row r="94" spans="1:40" ht="15.75" x14ac:dyDescent="0.25">
      <c r="A94" s="21" t="s">
        <v>34</v>
      </c>
      <c r="B94" s="20" t="s">
        <v>5</v>
      </c>
      <c r="C94" s="20"/>
      <c r="D94" s="20"/>
      <c r="E94" s="2"/>
      <c r="F94" s="20" t="s">
        <v>6</v>
      </c>
      <c r="G94" s="20"/>
      <c r="H94" s="20"/>
      <c r="I94" s="2"/>
      <c r="J94" s="20" t="s">
        <v>7</v>
      </c>
      <c r="K94" s="20"/>
      <c r="L94" s="20"/>
      <c r="M94" s="2"/>
      <c r="N94" s="20" t="s">
        <v>8</v>
      </c>
      <c r="O94" s="20"/>
      <c r="P94" s="20"/>
      <c r="Q94" s="2"/>
      <c r="R94" s="20" t="s">
        <v>9</v>
      </c>
      <c r="S94" s="20"/>
      <c r="T94" s="20"/>
      <c r="U94" s="2"/>
      <c r="V94" s="20" t="s">
        <v>10</v>
      </c>
      <c r="W94" s="20"/>
      <c r="X94" s="20"/>
      <c r="Y94" s="2"/>
      <c r="Z94" s="20" t="s">
        <v>11</v>
      </c>
      <c r="AA94" s="20"/>
      <c r="AB94" s="20"/>
      <c r="AC94" s="2"/>
      <c r="AD94" s="20" t="s">
        <v>12</v>
      </c>
      <c r="AE94" s="20"/>
      <c r="AF94" s="20"/>
      <c r="AG94" s="2"/>
      <c r="AH94" s="20" t="s">
        <v>13</v>
      </c>
      <c r="AI94" s="20"/>
      <c r="AJ94" s="20"/>
      <c r="AK94" s="2"/>
      <c r="AL94" s="20" t="s">
        <v>14</v>
      </c>
      <c r="AM94" s="20"/>
      <c r="AN94" s="20"/>
    </row>
    <row r="95" spans="1:40" x14ac:dyDescent="0.25">
      <c r="A95" s="21"/>
      <c r="B95" s="3">
        <v>13.27</v>
      </c>
      <c r="C95" s="4">
        <v>5.13</v>
      </c>
      <c r="D95" s="5">
        <v>0</v>
      </c>
      <c r="F95" s="3">
        <v>16.71</v>
      </c>
      <c r="G95" s="4">
        <v>10.7</v>
      </c>
      <c r="H95" s="5">
        <v>0</v>
      </c>
      <c r="J95" s="3">
        <v>12.85</v>
      </c>
      <c r="K95" s="4">
        <v>10.32</v>
      </c>
      <c r="L95" s="5">
        <v>0</v>
      </c>
      <c r="N95" s="3">
        <v>13.44</v>
      </c>
      <c r="O95" s="4">
        <v>7.25</v>
      </c>
      <c r="P95" s="5">
        <v>0</v>
      </c>
      <c r="R95" s="3">
        <v>12.58</v>
      </c>
      <c r="S95" s="4">
        <v>10.5</v>
      </c>
      <c r="T95" s="5">
        <v>0</v>
      </c>
      <c r="V95" s="3">
        <v>12.71</v>
      </c>
      <c r="W95" s="4">
        <v>10.050000000000001</v>
      </c>
      <c r="X95" s="5">
        <v>0</v>
      </c>
      <c r="Z95" s="3">
        <v>13</v>
      </c>
      <c r="AA95" s="4">
        <v>9.2200000000000006</v>
      </c>
      <c r="AB95" s="5">
        <v>0</v>
      </c>
      <c r="AD95" s="3">
        <v>24.84</v>
      </c>
      <c r="AE95" s="4">
        <v>14.5</v>
      </c>
      <c r="AF95" s="5">
        <v>0</v>
      </c>
      <c r="AH95" s="3">
        <v>23.9</v>
      </c>
      <c r="AI95" s="4">
        <v>16</v>
      </c>
      <c r="AJ95" s="5">
        <v>0</v>
      </c>
      <c r="AL95" s="3">
        <v>23.75</v>
      </c>
      <c r="AM95" s="4">
        <v>15.7</v>
      </c>
      <c r="AN95" s="5">
        <v>0</v>
      </c>
    </row>
    <row r="96" spans="1:40" ht="9.9499999999999993" customHeight="1" x14ac:dyDescent="0.25">
      <c r="A96" s="21"/>
    </row>
    <row r="97" spans="1:40" ht="15.75" x14ac:dyDescent="0.25">
      <c r="A97" s="21"/>
      <c r="B97" s="20" t="s">
        <v>15</v>
      </c>
      <c r="C97" s="20"/>
      <c r="D97" s="20"/>
      <c r="E97" s="2"/>
      <c r="F97" s="20" t="s">
        <v>16</v>
      </c>
      <c r="G97" s="20"/>
      <c r="H97" s="20"/>
      <c r="I97" s="2"/>
      <c r="J97" s="20" t="s">
        <v>17</v>
      </c>
      <c r="K97" s="20"/>
      <c r="L97" s="20"/>
      <c r="M97" s="2"/>
      <c r="N97" s="20" t="s">
        <v>18</v>
      </c>
      <c r="O97" s="20"/>
      <c r="P97" s="20"/>
      <c r="Q97" s="2"/>
      <c r="R97" s="20" t="s">
        <v>19</v>
      </c>
      <c r="S97" s="20"/>
      <c r="T97" s="20"/>
      <c r="U97" s="2"/>
      <c r="V97" s="20" t="s">
        <v>20</v>
      </c>
      <c r="W97" s="20"/>
      <c r="X97" s="20"/>
      <c r="Y97" s="2"/>
      <c r="Z97" s="20" t="s">
        <v>21</v>
      </c>
      <c r="AA97" s="20"/>
      <c r="AB97" s="20"/>
      <c r="AC97" s="2"/>
      <c r="AD97" s="20" t="s">
        <v>22</v>
      </c>
      <c r="AE97" s="20"/>
      <c r="AF97" s="20"/>
      <c r="AG97" s="2"/>
      <c r="AH97" s="20" t="s">
        <v>23</v>
      </c>
      <c r="AI97" s="20"/>
      <c r="AJ97" s="20"/>
      <c r="AK97" s="2"/>
      <c r="AL97" s="20" t="s">
        <v>24</v>
      </c>
      <c r="AM97" s="20"/>
      <c r="AN97" s="20"/>
    </row>
    <row r="98" spans="1:40" ht="30" customHeight="1" x14ac:dyDescent="0.25">
      <c r="A98" s="21"/>
      <c r="B98" s="3">
        <v>23.23</v>
      </c>
      <c r="C98" s="4">
        <v>16.2</v>
      </c>
      <c r="D98" s="5">
        <v>0</v>
      </c>
      <c r="F98" s="3">
        <v>24.1</v>
      </c>
      <c r="G98" s="4">
        <v>15.58</v>
      </c>
      <c r="H98" s="5">
        <v>0</v>
      </c>
      <c r="J98" s="3">
        <v>25.48</v>
      </c>
      <c r="K98" s="4">
        <v>14.62</v>
      </c>
      <c r="L98" s="5">
        <v>0</v>
      </c>
      <c r="N98" s="3">
        <v>24.71</v>
      </c>
      <c r="O98" s="4">
        <v>14.4</v>
      </c>
      <c r="P98" s="5">
        <v>0</v>
      </c>
      <c r="R98" s="3">
        <v>24.27</v>
      </c>
      <c r="S98" s="4">
        <v>15.15</v>
      </c>
      <c r="T98" s="5">
        <v>0</v>
      </c>
      <c r="V98" s="3">
        <v>27.28</v>
      </c>
      <c r="W98" s="4">
        <v>14.17</v>
      </c>
      <c r="X98" s="5">
        <v>0</v>
      </c>
      <c r="Z98" s="3">
        <v>22.38</v>
      </c>
      <c r="AA98" s="4">
        <v>14.03</v>
      </c>
      <c r="AB98" s="5">
        <v>0</v>
      </c>
      <c r="AD98" s="3">
        <v>25.35</v>
      </c>
      <c r="AE98" s="4">
        <v>13.09</v>
      </c>
      <c r="AF98" s="5">
        <v>0</v>
      </c>
      <c r="AH98" s="3">
        <v>18.21</v>
      </c>
      <c r="AI98" s="4">
        <v>13.2</v>
      </c>
      <c r="AJ98" s="5">
        <v>0</v>
      </c>
      <c r="AL98" s="3">
        <v>23.77</v>
      </c>
      <c r="AM98" s="4">
        <v>13.58</v>
      </c>
      <c r="AN98" s="5">
        <v>0</v>
      </c>
    </row>
    <row r="99" spans="1:40" x14ac:dyDescent="0.25">
      <c r="A99" s="21"/>
    </row>
    <row r="100" spans="1:40" x14ac:dyDescent="0.25">
      <c r="A100" s="21"/>
      <c r="B100" s="6">
        <f>SQRT(POWER((B95 - Point1_X),2) + POWER((C95 - Point1_Y),2))</f>
        <v>9.9406644647126061</v>
      </c>
      <c r="C100" s="7">
        <f>SQRT(POWER((F95 - Point2_X),2) + POWER((G95 - Point2_Y),2) )</f>
        <v>14.31827353419399</v>
      </c>
      <c r="D100" s="8">
        <f>SQRT(POWER((J95 - Point3_X),2) + POWER((K95 - Point3_Y),2) )</f>
        <v>6.4587262676165489</v>
      </c>
      <c r="F100" s="6">
        <f>SQRT(POWER((N95 - Point4_X),2) + POWER((O95 - Point4_Y),2) )</f>
        <v>1.7257696833587033</v>
      </c>
      <c r="G100" s="7">
        <f>SQRT(POWER((R95 - Point5_X),2) + POWER((S95 - Point5_Y),2) )</f>
        <v>2.1229642012996819</v>
      </c>
      <c r="H100" s="8">
        <f>SQRT(POWER((V95 - Point6_X),2) + POWER((W95 - Point6_Y),2) )</f>
        <v>3.6781571472681809</v>
      </c>
      <c r="J100" s="6">
        <f>SQRT(POWER((Z95 - Point7_X),2) + POWER((AA95 - Point7_Y),2) )</f>
        <v>9.0389241063303558</v>
      </c>
      <c r="K100" s="7">
        <f>SQRT(POWER((AD95 - Point8_X),2) + POWER((AE95 - Point8_Y),2) )</f>
        <v>20.760680624680873</v>
      </c>
      <c r="L100" s="8">
        <f>SQRT(POWER((AH95 - Point9_X),2) + POWER((AI95 - Point9_Y),2) )</f>
        <v>16.450163433838579</v>
      </c>
      <c r="N100" s="6">
        <f>SQRT(POWER((AL95 - Point10_X),2) + POWER((AM95 - Point10_Y),2) )</f>
        <v>12.309492800274104</v>
      </c>
      <c r="O100" s="7">
        <f>SQRT(POWER((B98 - Point11_X),2) + POWER((C98 - Point11_Y),2) )</f>
        <v>9.9589178629005666</v>
      </c>
      <c r="P100" s="8">
        <f>SQRT(POWER((F98 - Point12_X),2) + POWER((G98 - Point12_Y),2) )</f>
        <v>8.9951600875137299</v>
      </c>
      <c r="R100" s="6">
        <f>SQRT(POWER((J98 - Point13_X),2) + POWER((K98 - Point13_Y),2) )</f>
        <v>8.7944837824627342</v>
      </c>
      <c r="S100" s="7">
        <f>SQRT(POWER((N98 - Point14_X),2) + POWER((O98 - Point14_Y),2) )</f>
        <v>5.071658604440958</v>
      </c>
      <c r="T100" s="8">
        <f>SQRT(POWER((R98 - Point15_X),2) + POWER((S98 - Point15_Y),2))</f>
        <v>6.6145358869689401</v>
      </c>
      <c r="V100" s="6">
        <f>SQRT(POWER((V98 - Point16_X),2) + POWER((W98 - Point16_Y),2) )</f>
        <v>2.5947441106976226</v>
      </c>
      <c r="W100" s="7">
        <f>SQRT(POWER((Z98 - Point17_X),2) + POWER((AA98 - Point17_Y),2) )</f>
        <v>9.173822976273307</v>
      </c>
      <c r="X100" s="8">
        <f>SQRT(POWER((AD98 - Point18_X),2) + POWER((AE98 - Point18_Y),2) )</f>
        <v>3.7083950706471396</v>
      </c>
      <c r="Z100" s="6">
        <f>SQRT(POWER((AH98 - Point19_X),2) + POWER((AI98 - Point19_Y),2) )</f>
        <v>4.301051615593563</v>
      </c>
      <c r="AA100" s="8">
        <f>SQRT(POWER((AL98 - Point20_X),2) + POWER((AM98 - Point20_Y),2) )</f>
        <v>5.3930334692082162</v>
      </c>
      <c r="AD100" s="9">
        <f>AVERAGE(B100:AA100)</f>
        <v>8.0704809865140188</v>
      </c>
      <c r="AE100" s="10">
        <f>_xlfn.STDEV.P(B100:T100)</f>
        <v>5.1049755757256481</v>
      </c>
    </row>
    <row r="101" spans="1:40" ht="9.9499999999999993" customHeight="1" x14ac:dyDescent="0.25">
      <c r="A101" s="1"/>
    </row>
    <row r="102" spans="1:40" ht="15.75" x14ac:dyDescent="0.25">
      <c r="A102" s="21" t="s">
        <v>35</v>
      </c>
      <c r="B102" s="20" t="s">
        <v>5</v>
      </c>
      <c r="C102" s="20"/>
      <c r="D102" s="20"/>
      <c r="E102" s="2"/>
      <c r="F102" s="20" t="s">
        <v>6</v>
      </c>
      <c r="G102" s="20"/>
      <c r="H102" s="20"/>
      <c r="I102" s="2"/>
      <c r="J102" s="20" t="s">
        <v>7</v>
      </c>
      <c r="K102" s="20"/>
      <c r="L102" s="20"/>
      <c r="M102" s="2"/>
      <c r="N102" s="20" t="s">
        <v>8</v>
      </c>
      <c r="O102" s="20"/>
      <c r="P102" s="20"/>
      <c r="Q102" s="2"/>
      <c r="R102" s="20" t="s">
        <v>9</v>
      </c>
      <c r="S102" s="20"/>
      <c r="T102" s="20"/>
      <c r="U102" s="2"/>
      <c r="V102" s="20" t="s">
        <v>10</v>
      </c>
      <c r="W102" s="20"/>
      <c r="X102" s="20"/>
      <c r="Y102" s="2"/>
      <c r="Z102" s="20" t="s">
        <v>11</v>
      </c>
      <c r="AA102" s="20"/>
      <c r="AB102" s="20"/>
      <c r="AC102" s="2"/>
      <c r="AD102" s="20" t="s">
        <v>12</v>
      </c>
      <c r="AE102" s="20"/>
      <c r="AF102" s="20"/>
      <c r="AG102" s="2"/>
      <c r="AH102" s="20" t="s">
        <v>13</v>
      </c>
      <c r="AI102" s="20"/>
      <c r="AJ102" s="20"/>
      <c r="AK102" s="2"/>
      <c r="AL102" s="20" t="s">
        <v>14</v>
      </c>
      <c r="AM102" s="20"/>
      <c r="AN102" s="20"/>
    </row>
    <row r="103" spans="1:40" x14ac:dyDescent="0.25">
      <c r="A103" s="21"/>
      <c r="B103" s="3">
        <v>0.97</v>
      </c>
      <c r="C103" s="4">
        <v>1.44</v>
      </c>
      <c r="D103" s="5">
        <v>0</v>
      </c>
      <c r="F103" s="3">
        <v>5.31</v>
      </c>
      <c r="G103" s="4">
        <v>3.54</v>
      </c>
      <c r="H103" s="5">
        <v>0</v>
      </c>
      <c r="J103" s="3">
        <v>8.5399999999999991</v>
      </c>
      <c r="K103" s="4">
        <v>2.1800000000000002</v>
      </c>
      <c r="L103" s="5">
        <v>0</v>
      </c>
      <c r="N103" s="3">
        <v>5.53</v>
      </c>
      <c r="O103" s="4">
        <v>10.41</v>
      </c>
      <c r="P103" s="5">
        <v>0</v>
      </c>
      <c r="R103" s="3">
        <v>1.77</v>
      </c>
      <c r="S103" s="4">
        <v>12.75</v>
      </c>
      <c r="T103" s="5">
        <v>0</v>
      </c>
      <c r="V103" s="3">
        <v>7.5</v>
      </c>
      <c r="W103" s="4">
        <v>8.2799999999999994</v>
      </c>
      <c r="X103" s="5">
        <v>0</v>
      </c>
      <c r="Z103" s="3">
        <v>2.39</v>
      </c>
      <c r="AA103" s="4">
        <v>4.37</v>
      </c>
      <c r="AB103" s="5">
        <v>0</v>
      </c>
      <c r="AD103" s="3">
        <v>3.74</v>
      </c>
      <c r="AE103" s="4">
        <v>12.05</v>
      </c>
      <c r="AF103" s="5">
        <v>0</v>
      </c>
      <c r="AH103" s="3">
        <v>8.0399999999999991</v>
      </c>
      <c r="AI103" s="4">
        <v>15.09</v>
      </c>
      <c r="AJ103" s="5">
        <v>0</v>
      </c>
      <c r="AL103" s="3">
        <v>4.1900000000000004</v>
      </c>
      <c r="AM103" s="4">
        <v>6.71</v>
      </c>
      <c r="AN103" s="5">
        <v>0</v>
      </c>
    </row>
    <row r="104" spans="1:40" ht="9.9499999999999993" customHeight="1" x14ac:dyDescent="0.25">
      <c r="A104" s="21"/>
    </row>
    <row r="105" spans="1:40" ht="15.75" x14ac:dyDescent="0.25">
      <c r="A105" s="21"/>
      <c r="B105" s="20" t="s">
        <v>15</v>
      </c>
      <c r="C105" s="20"/>
      <c r="D105" s="20"/>
      <c r="E105" s="2"/>
      <c r="F105" s="20" t="s">
        <v>16</v>
      </c>
      <c r="G105" s="20"/>
      <c r="H105" s="20"/>
      <c r="I105" s="2"/>
      <c r="J105" s="20" t="s">
        <v>17</v>
      </c>
      <c r="K105" s="20"/>
      <c r="L105" s="20"/>
      <c r="M105" s="2"/>
      <c r="N105" s="20" t="s">
        <v>18</v>
      </c>
      <c r="O105" s="20"/>
      <c r="P105" s="20"/>
      <c r="Q105" s="2"/>
      <c r="R105" s="20" t="s">
        <v>19</v>
      </c>
      <c r="S105" s="20"/>
      <c r="T105" s="20"/>
      <c r="U105" s="2"/>
      <c r="V105" s="20" t="s">
        <v>20</v>
      </c>
      <c r="W105" s="20"/>
      <c r="X105" s="20"/>
      <c r="Y105" s="2"/>
      <c r="Z105" s="20" t="s">
        <v>21</v>
      </c>
      <c r="AA105" s="20"/>
      <c r="AB105" s="20"/>
      <c r="AC105" s="2"/>
      <c r="AD105" s="20" t="s">
        <v>22</v>
      </c>
      <c r="AE105" s="20"/>
      <c r="AF105" s="20"/>
      <c r="AG105" s="2"/>
      <c r="AH105" s="20" t="s">
        <v>23</v>
      </c>
      <c r="AI105" s="20"/>
      <c r="AJ105" s="20"/>
      <c r="AK105" s="2"/>
      <c r="AL105" s="20" t="s">
        <v>24</v>
      </c>
      <c r="AM105" s="20"/>
      <c r="AN105" s="20"/>
    </row>
    <row r="106" spans="1:40" ht="30" customHeight="1" x14ac:dyDescent="0.25">
      <c r="A106" s="21"/>
      <c r="B106" s="3">
        <v>5.2</v>
      </c>
      <c r="C106" s="4">
        <v>0.2</v>
      </c>
      <c r="D106" s="5">
        <v>0</v>
      </c>
      <c r="F106" s="3">
        <v>5.8</v>
      </c>
      <c r="G106" s="4">
        <v>0.74</v>
      </c>
      <c r="H106" s="5">
        <v>0</v>
      </c>
      <c r="J106" s="3">
        <v>20.58</v>
      </c>
      <c r="K106" s="4">
        <v>8.42</v>
      </c>
      <c r="L106" s="5">
        <v>0</v>
      </c>
      <c r="N106" s="3">
        <v>26.32</v>
      </c>
      <c r="O106" s="4">
        <v>8.36</v>
      </c>
      <c r="P106" s="5">
        <v>0</v>
      </c>
      <c r="R106" s="3">
        <v>25.27</v>
      </c>
      <c r="S106" s="4">
        <v>17.53</v>
      </c>
      <c r="T106" s="5">
        <v>0</v>
      </c>
      <c r="V106" s="3">
        <v>27.35</v>
      </c>
      <c r="W106" s="4">
        <v>17.829999999999998</v>
      </c>
      <c r="X106" s="5">
        <v>0</v>
      </c>
      <c r="Z106" s="3">
        <v>30.13</v>
      </c>
      <c r="AA106" s="4">
        <v>20.309999999999999</v>
      </c>
      <c r="AB106" s="5">
        <v>0</v>
      </c>
      <c r="AD106" s="3">
        <v>30.44</v>
      </c>
      <c r="AE106" s="4">
        <v>11.14</v>
      </c>
      <c r="AF106" s="5">
        <v>0</v>
      </c>
      <c r="AH106" s="3">
        <v>26.33</v>
      </c>
      <c r="AI106" s="4">
        <v>9.25</v>
      </c>
      <c r="AJ106" s="5">
        <v>0</v>
      </c>
      <c r="AL106" s="3">
        <v>23.46</v>
      </c>
      <c r="AM106" s="4">
        <v>11.48</v>
      </c>
      <c r="AN106" s="5">
        <v>0</v>
      </c>
    </row>
    <row r="107" spans="1:40" x14ac:dyDescent="0.25">
      <c r="A107" s="21"/>
    </row>
    <row r="108" spans="1:40" x14ac:dyDescent="0.25">
      <c r="A108" s="21"/>
      <c r="B108" s="6">
        <f>SQRT(POWER((B103 - Point1_X),2) + POWER((C103 - Point1_Y),2))</f>
        <v>2.903702808484367</v>
      </c>
      <c r="C108" s="7">
        <f>SQRT(POWER((F103 - Point2_X),2) + POWER((G103 - Point2_Y),2) )</f>
        <v>5.1180540247246311</v>
      </c>
      <c r="D108" s="8">
        <f>SQRT(POWER((J103 - Point3_X),2) + POWER((K103 - Point3_Y),2) )</f>
        <v>6.8021118044325029</v>
      </c>
      <c r="F108" s="6">
        <f>SQRT(POWER((N103 - Point4_X),2) + POWER((O103 - Point4_Y),2) )</f>
        <v>9.4145101306440786</v>
      </c>
      <c r="G108" s="7">
        <f>SQRT(POWER((R103 - Point5_X),2) + POWER((S103 - Point5_Y),2) )</f>
        <v>13.162704775235216</v>
      </c>
      <c r="H108" s="8">
        <f>SQRT(POWER((V103 - Point6_X),2) + POWER((W103 - Point6_Y),2) )</f>
        <v>4.6116114320267716</v>
      </c>
      <c r="J108" s="6">
        <f>SQRT(POWER((Z103 - Point7_X),2) + POWER((AA103 - Point7_Y),2) )</f>
        <v>10.165298274030132</v>
      </c>
      <c r="K108" s="7">
        <f>SQRT(POWER((AD103 - Point8_X),2) + POWER((AE103 - Point8_Y),2) )</f>
        <v>6.4686443711182644</v>
      </c>
      <c r="L108" s="8">
        <f>SQRT(POWER((AH103 - Point9_X),2) + POWER((AI103 - Point9_Y),2) )</f>
        <v>3.3367824322241928</v>
      </c>
      <c r="N108" s="6">
        <f>SQRT(POWER((AL103 - Point10_X),2) + POWER((AM103 - Point10_Y),2) )</f>
        <v>13.841410079901541</v>
      </c>
      <c r="O108" s="7">
        <f>SQRT(POWER((B106 - Point11_X),2) + POWER((C106 - Point11_Y),2) )</f>
        <v>20.096849628735345</v>
      </c>
      <c r="P108" s="8">
        <f>SQRT(POWER((F106 - Point12_X),2) + POWER((G106 - Point12_Y),2) )</f>
        <v>20.234781565413552</v>
      </c>
      <c r="R108" s="6">
        <f>SQRT(POWER((J106 - Point13_X),2) + POWER((K106 - Point13_Y),2) )</f>
        <v>10.574561220211457</v>
      </c>
      <c r="S108" s="7">
        <f>SQRT(POWER((N106 - Point14_X),2) + POWER((O106 - Point14_Y),2) )</f>
        <v>11.309991202472265</v>
      </c>
      <c r="T108" s="8">
        <f>SQRT(POWER((R106 - Point15_X),2) + POWER((S106 - Point15_Y),2))</f>
        <v>4.2662588997856172</v>
      </c>
      <c r="V108" s="6">
        <f>SQRT(POWER((V106 - Point16_X),2) + POWER((W106 - Point16_Y),2) )</f>
        <v>1.2831745789252516</v>
      </c>
      <c r="W108" s="7">
        <f>SQRT(POWER((Z106 - Point17_X),2) + POWER((AA106 - Point17_Y),2) )</f>
        <v>5.0262558629659901</v>
      </c>
      <c r="X108" s="8">
        <f>SQRT(POWER((AD106 - Point18_X),2) + POWER((AE106 - Point18_Y),2) )</f>
        <v>7.0215834396523436</v>
      </c>
      <c r="Z108" s="6">
        <f>SQRT(POWER((AH106 - Point19_X),2) + POWER((AI106 - Point19_Y),2) )</f>
        <v>8.7393938576997421</v>
      </c>
      <c r="AA108" s="8">
        <f>SQRT(POWER((AL106 - Point20_X),2) + POWER((AM106 - Point20_Y),2) )</f>
        <v>5.4924903277111028</v>
      </c>
      <c r="AD108" s="9">
        <f>AVERAGE(B108:AA108)</f>
        <v>8.4935085358197178</v>
      </c>
      <c r="AE108" s="10">
        <f>_xlfn.STDEV.P(B108:T108)</f>
        <v>5.3735410634279628</v>
      </c>
    </row>
    <row r="109" spans="1:40" ht="9.9499999999999993" customHeight="1" x14ac:dyDescent="0.25">
      <c r="A109" s="1"/>
    </row>
    <row r="110" spans="1:40" ht="15.75" x14ac:dyDescent="0.25">
      <c r="A110" s="21" t="s">
        <v>36</v>
      </c>
      <c r="B110" s="20" t="s">
        <v>5</v>
      </c>
      <c r="C110" s="20"/>
      <c r="D110" s="20"/>
      <c r="E110" s="2"/>
      <c r="F110" s="20" t="s">
        <v>6</v>
      </c>
      <c r="G110" s="20"/>
      <c r="H110" s="20"/>
      <c r="I110" s="2"/>
      <c r="J110" s="20" t="s">
        <v>7</v>
      </c>
      <c r="K110" s="20"/>
      <c r="L110" s="20"/>
      <c r="M110" s="2"/>
      <c r="N110" s="20" t="s">
        <v>8</v>
      </c>
      <c r="O110" s="20"/>
      <c r="P110" s="20"/>
      <c r="Q110" s="2"/>
      <c r="R110" s="20" t="s">
        <v>9</v>
      </c>
      <c r="S110" s="20"/>
      <c r="T110" s="20"/>
      <c r="U110" s="2"/>
      <c r="V110" s="20" t="s">
        <v>10</v>
      </c>
      <c r="W110" s="20"/>
      <c r="X110" s="20"/>
      <c r="Y110" s="2"/>
      <c r="Z110" s="20" t="s">
        <v>11</v>
      </c>
      <c r="AA110" s="20"/>
      <c r="AB110" s="20"/>
      <c r="AC110" s="2"/>
      <c r="AD110" s="20" t="s">
        <v>12</v>
      </c>
      <c r="AE110" s="20"/>
      <c r="AF110" s="20"/>
      <c r="AG110" s="2"/>
      <c r="AH110" s="20" t="s">
        <v>13</v>
      </c>
      <c r="AI110" s="20"/>
      <c r="AJ110" s="20"/>
      <c r="AK110" s="2"/>
      <c r="AL110" s="20" t="s">
        <v>14</v>
      </c>
      <c r="AM110" s="20"/>
      <c r="AN110" s="20"/>
    </row>
    <row r="111" spans="1:40" x14ac:dyDescent="0.25">
      <c r="A111" s="21"/>
      <c r="B111" s="3"/>
      <c r="C111" s="4"/>
      <c r="D111" s="5"/>
      <c r="F111" s="3"/>
      <c r="G111" s="4"/>
      <c r="H111" s="5"/>
      <c r="J111" s="3"/>
      <c r="K111" s="4"/>
      <c r="L111" s="5"/>
      <c r="N111" s="3"/>
      <c r="O111" s="4"/>
      <c r="P111" s="5"/>
      <c r="R111" s="3"/>
      <c r="S111" s="4"/>
      <c r="T111" s="5"/>
      <c r="V111" s="3"/>
      <c r="W111" s="4"/>
      <c r="X111" s="5"/>
      <c r="Z111" s="3"/>
      <c r="AA111" s="4"/>
      <c r="AB111" s="5"/>
      <c r="AD111" s="3"/>
      <c r="AE111" s="4"/>
      <c r="AF111" s="5"/>
      <c r="AH111" s="3"/>
      <c r="AI111" s="4"/>
      <c r="AJ111" s="5"/>
      <c r="AL111" s="3"/>
      <c r="AM111" s="4"/>
      <c r="AN111" s="5"/>
    </row>
    <row r="112" spans="1:40" ht="9.9499999999999993" customHeight="1" x14ac:dyDescent="0.25">
      <c r="A112" s="21"/>
    </row>
    <row r="113" spans="1:40" ht="15.75" x14ac:dyDescent="0.25">
      <c r="A113" s="21"/>
      <c r="B113" s="20" t="s">
        <v>15</v>
      </c>
      <c r="C113" s="20"/>
      <c r="D113" s="20"/>
      <c r="E113" s="2"/>
      <c r="F113" s="20" t="s">
        <v>16</v>
      </c>
      <c r="G113" s="20"/>
      <c r="H113" s="20"/>
      <c r="I113" s="2"/>
      <c r="J113" s="20" t="s">
        <v>17</v>
      </c>
      <c r="K113" s="20"/>
      <c r="L113" s="20"/>
      <c r="M113" s="2"/>
      <c r="N113" s="20" t="s">
        <v>18</v>
      </c>
      <c r="O113" s="20"/>
      <c r="P113" s="20"/>
      <c r="Q113" s="2"/>
      <c r="R113" s="20" t="s">
        <v>19</v>
      </c>
      <c r="S113" s="20"/>
      <c r="T113" s="20"/>
      <c r="U113" s="2"/>
      <c r="V113" s="20" t="s">
        <v>20</v>
      </c>
      <c r="W113" s="20"/>
      <c r="X113" s="20"/>
      <c r="Y113" s="2"/>
      <c r="Z113" s="20" t="s">
        <v>21</v>
      </c>
      <c r="AA113" s="20"/>
      <c r="AB113" s="20"/>
      <c r="AC113" s="2"/>
      <c r="AD113" s="20" t="s">
        <v>22</v>
      </c>
      <c r="AE113" s="20"/>
      <c r="AF113" s="20"/>
      <c r="AG113" s="2"/>
      <c r="AH113" s="20" t="s">
        <v>23</v>
      </c>
      <c r="AI113" s="20"/>
      <c r="AJ113" s="20"/>
      <c r="AK113" s="2"/>
      <c r="AL113" s="20" t="s">
        <v>24</v>
      </c>
      <c r="AM113" s="20"/>
      <c r="AN113" s="20"/>
    </row>
    <row r="114" spans="1:40" ht="30" customHeight="1" x14ac:dyDescent="0.25">
      <c r="A114" s="21"/>
      <c r="B114" s="3"/>
      <c r="C114" s="4"/>
      <c r="D114" s="5"/>
      <c r="F114" s="3"/>
      <c r="G114" s="4"/>
      <c r="H114" s="5"/>
      <c r="J114" s="3"/>
      <c r="K114" s="4"/>
      <c r="L114" s="5"/>
      <c r="N114" s="3"/>
      <c r="O114" s="4"/>
      <c r="P114" s="5"/>
      <c r="R114" s="3"/>
      <c r="S114" s="4"/>
      <c r="T114" s="5"/>
      <c r="V114" s="3"/>
      <c r="W114" s="4"/>
      <c r="X114" s="5"/>
      <c r="Z114" s="3"/>
      <c r="AA114" s="4"/>
      <c r="AB114" s="5"/>
      <c r="AD114" s="3"/>
      <c r="AE114" s="4"/>
      <c r="AF114" s="5"/>
      <c r="AH114" s="3"/>
      <c r="AI114" s="4"/>
      <c r="AJ114" s="5"/>
      <c r="AL114" s="3"/>
      <c r="AM114" s="4"/>
      <c r="AN114" s="5"/>
    </row>
    <row r="115" spans="1:40" x14ac:dyDescent="0.25">
      <c r="A115" s="21"/>
    </row>
    <row r="116" spans="1:40" x14ac:dyDescent="0.25">
      <c r="A116" s="21"/>
      <c r="B116" s="6">
        <f>SQRT(POWER((B111 - Point1_X),2) + POWER((C111 - Point1_Y),2))</f>
        <v>4.4142100085972347</v>
      </c>
      <c r="C116" s="7">
        <f>SQRT(POWER((F111 - Point2_X),2) + POWER((G111 - Point2_Y),2) )</f>
        <v>8.3569813329933922</v>
      </c>
      <c r="D116" s="8">
        <f>SQRT(POWER((J111 - Point3_X),2) + POWER((K111 - Point3_Y),2) )</f>
        <v>10.91815941448008</v>
      </c>
      <c r="F116" s="6">
        <f>SQRT(POWER((N111 - Point4_X),2) + POWER((O111 - Point4_Y),2) )</f>
        <v>14.663712388068719</v>
      </c>
      <c r="G116" s="7">
        <f>SQRT(POWER((R111 - Point5_X),2) + POWER((S111 - Point5_Y),2) )</f>
        <v>17.709696129521816</v>
      </c>
      <c r="H116" s="8">
        <f>SQRT(POWER((V111 - Point6_X),2) + POWER((W111 - Point6_Y),2) )</f>
        <v>15.706737407876915</v>
      </c>
      <c r="J116" s="6">
        <f>SQRT(POWER((Z111 - Point7_X),2) + POWER((AA111 - Point7_Y),2) )</f>
        <v>15.078234279914874</v>
      </c>
      <c r="K116" s="7">
        <f>SQRT(POWER((AD111 - Point8_X),2) + POWER((AE111 - Point8_Y),2) )</f>
        <v>19.009570747389329</v>
      </c>
      <c r="L116" s="8">
        <f>SQRT(POWER((AH111 - Point9_X),2) + POWER((AI111 - Point9_Y),2) )</f>
        <v>19.918651485479632</v>
      </c>
      <c r="N116" s="6">
        <f>SQRT(POWER((AL111 - Point10_X),2) + POWER((AM111 - Point10_Y),2) )</f>
        <v>21.751423240790476</v>
      </c>
      <c r="O116" s="7">
        <f>SQRT(POWER((B114 - Point11_X),2) + POWER((C114 - Point11_Y),2) )</f>
        <v>22.912498008728775</v>
      </c>
      <c r="P116" s="8">
        <f>SQRT(POWER((F114 - Point12_X),2) + POWER((G114 - Point12_Y),2) )</f>
        <v>24.150918512553513</v>
      </c>
      <c r="R116" s="6">
        <f>SQRT(POWER((J114 - Point13_X),2) + POWER((K114 - Point13_Y),2) )</f>
        <v>25.60393924770171</v>
      </c>
      <c r="S116" s="7">
        <f>SQRT(POWER((N114 - Point14_X),2) + POWER((O114 - Point14_Y),2) )</f>
        <v>29.890348626270658</v>
      </c>
      <c r="T116" s="8">
        <f>SQRT(POWER((R114 - Point15_X),2) + POWER((S114 - Point15_Y),2))</f>
        <v>35.020054611607904</v>
      </c>
      <c r="V116" s="6">
        <f>SQRT(POWER((V114 - Point16_X),2) + POWER((W114 - Point16_Y),2) )</f>
        <v>31.52200496478611</v>
      </c>
      <c r="W116" s="7">
        <f>SQRT(POWER((Z114 - Point17_X),2) + POWER((AA114 - Point17_Y),2) )</f>
        <v>35.036397189208827</v>
      </c>
      <c r="X116" s="8">
        <f>SQRT(POWER((AD114 - Point18_X),2) + POWER((AE114 - Point18_Y),2) )</f>
        <v>25.51688448851074</v>
      </c>
      <c r="Z116" s="6">
        <f>SQRT(POWER((AH114 - Point19_X),2) + POWER((AI114 - Point19_Y),2) )</f>
        <v>19.738198119382631</v>
      </c>
      <c r="AA116" s="8">
        <f>SQRT(POWER((AL114 - Point20_X),2) + POWER((AM114 - Point20_Y),2) )</f>
        <v>22.83888898348604</v>
      </c>
      <c r="AD116" s="9">
        <f>AVERAGE(B116:AA116)</f>
        <v>20.987875459367466</v>
      </c>
      <c r="AE116" s="10">
        <f>_xlfn.STDEV.P(B116:T116)</f>
        <v>7.7766163434900157</v>
      </c>
    </row>
    <row r="117" spans="1:40" ht="9.9499999999999993" customHeight="1" x14ac:dyDescent="0.25">
      <c r="A117" s="1"/>
    </row>
    <row r="118" spans="1:40" ht="15.75" x14ac:dyDescent="0.25">
      <c r="A118" s="21" t="s">
        <v>37</v>
      </c>
      <c r="B118" s="20" t="s">
        <v>5</v>
      </c>
      <c r="C118" s="20"/>
      <c r="D118" s="20"/>
      <c r="E118" s="2"/>
      <c r="F118" s="20" t="s">
        <v>6</v>
      </c>
      <c r="G118" s="20"/>
      <c r="H118" s="20"/>
      <c r="I118" s="2"/>
      <c r="J118" s="20" t="s">
        <v>7</v>
      </c>
      <c r="K118" s="20"/>
      <c r="L118" s="20"/>
      <c r="M118" s="2"/>
      <c r="N118" s="20" t="s">
        <v>8</v>
      </c>
      <c r="O118" s="20"/>
      <c r="P118" s="20"/>
      <c r="Q118" s="2"/>
      <c r="R118" s="20" t="s">
        <v>9</v>
      </c>
      <c r="S118" s="20"/>
      <c r="T118" s="20"/>
      <c r="U118" s="2"/>
      <c r="V118" s="20" t="s">
        <v>10</v>
      </c>
      <c r="W118" s="20"/>
      <c r="X118" s="20"/>
      <c r="Y118" s="2"/>
      <c r="Z118" s="20" t="s">
        <v>11</v>
      </c>
      <c r="AA118" s="20"/>
      <c r="AB118" s="20"/>
      <c r="AC118" s="2"/>
      <c r="AD118" s="20" t="s">
        <v>12</v>
      </c>
      <c r="AE118" s="20"/>
      <c r="AF118" s="20"/>
      <c r="AG118" s="2"/>
      <c r="AH118" s="20" t="s">
        <v>13</v>
      </c>
      <c r="AI118" s="20"/>
      <c r="AJ118" s="20"/>
      <c r="AK118" s="2"/>
      <c r="AL118" s="20" t="s">
        <v>14</v>
      </c>
      <c r="AM118" s="20"/>
      <c r="AN118" s="20"/>
    </row>
    <row r="119" spans="1:40" x14ac:dyDescent="0.25">
      <c r="A119" s="21"/>
      <c r="B119" s="3">
        <v>3.8</v>
      </c>
      <c r="C119" s="4">
        <v>2.44</v>
      </c>
      <c r="D119" s="5">
        <v>0</v>
      </c>
      <c r="F119" s="3">
        <v>2.5299999999999998</v>
      </c>
      <c r="G119" s="4">
        <v>8</v>
      </c>
      <c r="H119" s="5">
        <v>0</v>
      </c>
      <c r="J119" s="3">
        <v>6.46</v>
      </c>
      <c r="K119" s="4">
        <v>9.06</v>
      </c>
      <c r="L119" s="5">
        <v>0</v>
      </c>
      <c r="N119" s="3">
        <v>13.71</v>
      </c>
      <c r="O119" s="4">
        <v>6.35</v>
      </c>
      <c r="P119" s="5">
        <v>0</v>
      </c>
      <c r="R119" s="3">
        <v>14.34</v>
      </c>
      <c r="S119" s="4">
        <v>11.01</v>
      </c>
      <c r="T119" s="5">
        <v>0</v>
      </c>
      <c r="V119" s="3">
        <v>9.31</v>
      </c>
      <c r="W119" s="4">
        <v>12.77</v>
      </c>
      <c r="X119" s="5">
        <v>0</v>
      </c>
      <c r="Z119" s="3">
        <v>4.6500000000000004</v>
      </c>
      <c r="AA119" s="4">
        <v>14</v>
      </c>
      <c r="AB119" s="5">
        <v>0</v>
      </c>
      <c r="AD119" s="3">
        <v>2.83</v>
      </c>
      <c r="AE119" s="4">
        <v>18.260000000000002</v>
      </c>
      <c r="AF119" s="5">
        <v>0</v>
      </c>
      <c r="AH119" s="3">
        <v>6.18</v>
      </c>
      <c r="AI119" s="4">
        <v>18.649999999999999</v>
      </c>
      <c r="AJ119" s="5">
        <v>0</v>
      </c>
      <c r="AL119" s="3">
        <v>10.31</v>
      </c>
      <c r="AM119" s="4">
        <v>19.29</v>
      </c>
      <c r="AN119" s="5">
        <v>0</v>
      </c>
    </row>
    <row r="120" spans="1:40" ht="9.9499999999999993" customHeight="1" x14ac:dyDescent="0.25">
      <c r="A120" s="21"/>
    </row>
    <row r="121" spans="1:40" ht="15.75" x14ac:dyDescent="0.25">
      <c r="A121" s="21"/>
      <c r="B121" s="20" t="s">
        <v>15</v>
      </c>
      <c r="C121" s="20"/>
      <c r="D121" s="20"/>
      <c r="E121" s="2"/>
      <c r="F121" s="20" t="s">
        <v>16</v>
      </c>
      <c r="G121" s="20"/>
      <c r="H121" s="20"/>
      <c r="I121" s="2"/>
      <c r="J121" s="20" t="s">
        <v>17</v>
      </c>
      <c r="K121" s="20"/>
      <c r="L121" s="20"/>
      <c r="M121" s="2"/>
      <c r="N121" s="20" t="s">
        <v>18</v>
      </c>
      <c r="O121" s="20"/>
      <c r="P121" s="20"/>
      <c r="Q121" s="2"/>
      <c r="R121" s="20" t="s">
        <v>19</v>
      </c>
      <c r="S121" s="20"/>
      <c r="T121" s="20"/>
      <c r="U121" s="2"/>
      <c r="V121" s="20" t="s">
        <v>20</v>
      </c>
      <c r="W121" s="20"/>
      <c r="X121" s="20"/>
      <c r="Y121" s="2"/>
      <c r="Z121" s="20" t="s">
        <v>21</v>
      </c>
      <c r="AA121" s="20"/>
      <c r="AB121" s="20"/>
      <c r="AC121" s="2"/>
      <c r="AD121" s="20" t="s">
        <v>22</v>
      </c>
      <c r="AE121" s="20"/>
      <c r="AF121" s="20"/>
      <c r="AG121" s="2"/>
      <c r="AH121" s="20" t="s">
        <v>23</v>
      </c>
      <c r="AI121" s="20"/>
      <c r="AJ121" s="20"/>
      <c r="AK121" s="2"/>
      <c r="AL121" s="20" t="s">
        <v>24</v>
      </c>
      <c r="AM121" s="20"/>
      <c r="AN121" s="20"/>
    </row>
    <row r="122" spans="1:40" ht="30" customHeight="1" x14ac:dyDescent="0.25">
      <c r="A122" s="21"/>
      <c r="B122" s="3">
        <v>12.15</v>
      </c>
      <c r="C122" s="4">
        <v>19.829999999999998</v>
      </c>
      <c r="D122" s="5">
        <v>0</v>
      </c>
      <c r="F122" s="3">
        <v>14.2</v>
      </c>
      <c r="G122" s="4">
        <v>20.29</v>
      </c>
      <c r="H122" s="5">
        <v>0</v>
      </c>
      <c r="J122" s="3">
        <v>16</v>
      </c>
      <c r="K122" s="4">
        <v>20.85</v>
      </c>
      <c r="L122" s="5">
        <v>0</v>
      </c>
      <c r="N122" s="3">
        <v>21.09</v>
      </c>
      <c r="O122" s="4">
        <v>23.03</v>
      </c>
      <c r="P122" s="5">
        <v>0</v>
      </c>
      <c r="R122" s="3">
        <v>26.38</v>
      </c>
      <c r="S122" s="4">
        <v>25.73</v>
      </c>
      <c r="T122" s="5">
        <v>0</v>
      </c>
      <c r="V122" s="3">
        <v>25.64</v>
      </c>
      <c r="W122" s="4">
        <v>21.87</v>
      </c>
      <c r="X122" s="5">
        <v>0</v>
      </c>
      <c r="Z122" s="3">
        <v>30.53</v>
      </c>
      <c r="AA122" s="4">
        <v>22.43</v>
      </c>
      <c r="AB122" s="5">
        <v>0</v>
      </c>
      <c r="AD122" s="3">
        <v>25.42</v>
      </c>
      <c r="AE122" s="4">
        <v>14.12</v>
      </c>
      <c r="AF122" s="5">
        <v>0</v>
      </c>
      <c r="AH122" s="3">
        <v>20.350000000000001</v>
      </c>
      <c r="AI122" s="4">
        <v>10.77</v>
      </c>
      <c r="AJ122" s="5">
        <v>0</v>
      </c>
      <c r="AL122" s="3">
        <v>18.96</v>
      </c>
      <c r="AM122" s="4">
        <v>15.23</v>
      </c>
      <c r="AN122" s="5">
        <v>0</v>
      </c>
    </row>
    <row r="123" spans="1:40" x14ac:dyDescent="0.25">
      <c r="A123" s="21"/>
    </row>
    <row r="124" spans="1:40" x14ac:dyDescent="0.25">
      <c r="A124" s="21"/>
      <c r="B124" s="6">
        <f>SQRT(POWER((B119 - Point1_X),2) + POWER((C119 - Point1_Y),2))</f>
        <v>0.10183319694480762</v>
      </c>
      <c r="C124" s="7">
        <f>SQRT(POWER((F119 - Point2_X),2) + POWER((G119 - Point2_Y),2) )</f>
        <v>0.15555384919699045</v>
      </c>
      <c r="D124" s="8">
        <f>SQRT(POWER((J119 - Point3_X),2) + POWER((K119 - Point3_Y),2) )</f>
        <v>0.38647768370243635</v>
      </c>
      <c r="F124" s="6">
        <f>SQRT(POWER((N119 - Point4_X),2) + POWER((O119 - Point4_Y),2) )</f>
        <v>0.83008493541323791</v>
      </c>
      <c r="G124" s="7">
        <f>SQRT(POWER((R119 - Point5_X),2) + POWER((S119 - Point5_Y),2) )</f>
        <v>1.0803411498225914</v>
      </c>
      <c r="H124" s="8">
        <f>SQRT(POWER((V119 - Point6_X),2) + POWER((W119 - Point6_Y),2) )</f>
        <v>0.68167440908398391</v>
      </c>
      <c r="J124" s="6">
        <f>SQRT(POWER((Z119 - Point7_X),2) + POWER((AA119 - Point7_Y),2) )</f>
        <v>0.73691858437686253</v>
      </c>
      <c r="K124" s="7">
        <f>SQRT(POWER((AD119 - Point8_X),2) + POWER((AE119 - Point8_Y),2) )</f>
        <v>1.64847808599326</v>
      </c>
      <c r="L124" s="8">
        <f>SQRT(POWER((AH119 - Point9_X),2) + POWER((AI119 - Point9_Y),2) )</f>
        <v>1.4672821814497718</v>
      </c>
      <c r="N124" s="6">
        <f>SQRT(POWER((AL119 - Point10_X),2) + POWER((AM119 - Point10_Y),2) )</f>
        <v>1.7127734818124669</v>
      </c>
      <c r="O124" s="7">
        <f>SQRT(POWER((B122 - Point11_X),2) + POWER((C122 - Point11_Y),2) )</f>
        <v>1.93134797486108</v>
      </c>
      <c r="P124" s="8">
        <f>SQRT(POWER((F122 - Point12_X),2) + POWER((G122 - Point12_Y),2) )</f>
        <v>2.2934003139443409</v>
      </c>
      <c r="R124" s="6">
        <f>SQRT(POWER((J122 - Point13_X),2) + POWER((K122 - Point13_Y),2) )</f>
        <v>2.7968026387287326</v>
      </c>
      <c r="S124" s="7">
        <f>SQRT(POWER((N122 - Point14_X),2) + POWER((O122 - Point14_Y),2) )</f>
        <v>4.2965522224220676</v>
      </c>
      <c r="T124" s="8">
        <f>SQRT(POWER((R122 - Point15_X),2) + POWER((S122 - Point15_Y),2))</f>
        <v>6.1378534521443253</v>
      </c>
      <c r="V124" s="6">
        <f>SQRT(POWER((V122 - Point16_X),2) + POWER((W122 - Point16_Y),2) )</f>
        <v>5.2779898635749589</v>
      </c>
      <c r="W124" s="7">
        <f>SQRT(POWER((Z122 - Point17_X),2) + POWER((AA122 - Point17_Y),2) )</f>
        <v>7.031395878486717</v>
      </c>
      <c r="X124" s="8">
        <f>SQRT(POWER((AD122 - Point18_X),2) + POWER((AE122 - Point18_Y),2) )</f>
        <v>4.662179104238704</v>
      </c>
      <c r="Z124" s="6">
        <f>SQRT(POWER((AH122 - Point19_X),2) + POWER((AI122 - Point19_Y),2) )</f>
        <v>3.3049122529955324</v>
      </c>
      <c r="AA124" s="8">
        <f>SQRT(POWER((AL122 - Point20_X),2) + POWER((AM122 - Point20_Y),2) )</f>
        <v>1.7678942276052614</v>
      </c>
      <c r="AD124" s="9">
        <f>AVERAGE(B124:AA124)</f>
        <v>2.4150872743399066</v>
      </c>
      <c r="AE124" s="10">
        <f>_xlfn.STDEV.P(B124:T124)</f>
        <v>1.5881649119900418</v>
      </c>
    </row>
    <row r="125" spans="1:40" ht="9.9499999999999993" customHeight="1" x14ac:dyDescent="0.25">
      <c r="A125" s="1"/>
    </row>
    <row r="126" spans="1:40" ht="15.75" x14ac:dyDescent="0.25">
      <c r="A126" s="21" t="s">
        <v>38</v>
      </c>
      <c r="B126" s="20" t="s">
        <v>5</v>
      </c>
      <c r="C126" s="20"/>
      <c r="D126" s="20"/>
      <c r="E126" s="2"/>
      <c r="F126" s="20" t="s">
        <v>6</v>
      </c>
      <c r="G126" s="20"/>
      <c r="H126" s="20"/>
      <c r="I126" s="2"/>
      <c r="J126" s="20" t="s">
        <v>7</v>
      </c>
      <c r="K126" s="20"/>
      <c r="L126" s="20"/>
      <c r="M126" s="2"/>
      <c r="N126" s="20" t="s">
        <v>8</v>
      </c>
      <c r="O126" s="20"/>
      <c r="P126" s="20"/>
      <c r="Q126" s="2"/>
      <c r="R126" s="20" t="s">
        <v>9</v>
      </c>
      <c r="S126" s="20"/>
      <c r="T126" s="20"/>
      <c r="U126" s="2"/>
      <c r="V126" s="20" t="s">
        <v>10</v>
      </c>
      <c r="W126" s="20"/>
      <c r="X126" s="20"/>
      <c r="Y126" s="2"/>
      <c r="Z126" s="20" t="s">
        <v>11</v>
      </c>
      <c r="AA126" s="20"/>
      <c r="AB126" s="20"/>
      <c r="AC126" s="2"/>
      <c r="AD126" s="20" t="s">
        <v>12</v>
      </c>
      <c r="AE126" s="20"/>
      <c r="AF126" s="20"/>
      <c r="AG126" s="2"/>
      <c r="AH126" s="20" t="s">
        <v>13</v>
      </c>
      <c r="AI126" s="20"/>
      <c r="AJ126" s="20"/>
      <c r="AK126" s="2"/>
      <c r="AL126" s="20" t="s">
        <v>14</v>
      </c>
      <c r="AM126" s="20"/>
      <c r="AN126" s="20"/>
    </row>
    <row r="127" spans="1:40" x14ac:dyDescent="0.25">
      <c r="A127" s="21"/>
      <c r="B127" s="3">
        <v>2.06</v>
      </c>
      <c r="C127" s="4">
        <v>1.91</v>
      </c>
      <c r="D127" s="5">
        <v>0</v>
      </c>
      <c r="F127" s="3">
        <v>0.31</v>
      </c>
      <c r="G127" s="4">
        <v>6.57</v>
      </c>
      <c r="H127" s="5">
        <v>0</v>
      </c>
      <c r="J127" s="3">
        <v>4.4400000000000004</v>
      </c>
      <c r="K127" s="4">
        <v>8.33</v>
      </c>
      <c r="L127" s="5">
        <v>0</v>
      </c>
      <c r="N127" s="3">
        <v>11.91</v>
      </c>
      <c r="O127" s="4">
        <v>6.87</v>
      </c>
      <c r="P127" s="5">
        <v>0</v>
      </c>
      <c r="R127" s="3">
        <v>12.52</v>
      </c>
      <c r="S127" s="4">
        <v>10.42</v>
      </c>
      <c r="T127" s="5">
        <v>0</v>
      </c>
      <c r="V127" s="3">
        <v>7.44</v>
      </c>
      <c r="W127" s="4">
        <v>11.81</v>
      </c>
      <c r="X127" s="5">
        <v>0</v>
      </c>
      <c r="Z127" s="3">
        <v>2.62</v>
      </c>
      <c r="AA127" s="4">
        <v>12.7</v>
      </c>
      <c r="AB127" s="5">
        <v>0</v>
      </c>
      <c r="AD127" s="3">
        <v>2.78</v>
      </c>
      <c r="AE127" s="4">
        <v>17.72</v>
      </c>
      <c r="AF127" s="5">
        <v>0</v>
      </c>
      <c r="AH127" s="3">
        <v>6.55</v>
      </c>
      <c r="AI127" s="4">
        <v>18.22</v>
      </c>
      <c r="AJ127" s="5">
        <v>0</v>
      </c>
      <c r="AL127" s="3">
        <v>17.93</v>
      </c>
      <c r="AM127" s="4">
        <v>17.63</v>
      </c>
      <c r="AN127" s="5">
        <v>0</v>
      </c>
    </row>
    <row r="128" spans="1:40" ht="9.9499999999999993" customHeight="1" x14ac:dyDescent="0.25">
      <c r="A128" s="21"/>
    </row>
    <row r="129" spans="1:40" ht="15.75" x14ac:dyDescent="0.25">
      <c r="A129" s="21"/>
      <c r="B129" s="20" t="s">
        <v>15</v>
      </c>
      <c r="C129" s="20"/>
      <c r="D129" s="20"/>
      <c r="E129" s="2"/>
      <c r="F129" s="20" t="s">
        <v>16</v>
      </c>
      <c r="G129" s="20"/>
      <c r="H129" s="20"/>
      <c r="I129" s="2"/>
      <c r="J129" s="20" t="s">
        <v>17</v>
      </c>
      <c r="K129" s="20"/>
      <c r="L129" s="20"/>
      <c r="M129" s="2"/>
      <c r="N129" s="20" t="s">
        <v>18</v>
      </c>
      <c r="O129" s="20"/>
      <c r="P129" s="20"/>
      <c r="Q129" s="2"/>
      <c r="R129" s="20" t="s">
        <v>19</v>
      </c>
      <c r="S129" s="20"/>
      <c r="T129" s="20"/>
      <c r="U129" s="2"/>
      <c r="V129" s="20" t="s">
        <v>20</v>
      </c>
      <c r="W129" s="20"/>
      <c r="X129" s="20"/>
      <c r="Y129" s="2"/>
      <c r="Z129" s="20" t="s">
        <v>21</v>
      </c>
      <c r="AA129" s="20"/>
      <c r="AB129" s="20"/>
      <c r="AC129" s="2"/>
      <c r="AD129" s="20" t="s">
        <v>22</v>
      </c>
      <c r="AE129" s="20"/>
      <c r="AF129" s="20"/>
      <c r="AG129" s="2"/>
      <c r="AH129" s="20" t="s">
        <v>23</v>
      </c>
      <c r="AI129" s="20"/>
      <c r="AJ129" s="20"/>
      <c r="AK129" s="2"/>
      <c r="AL129" s="20" t="s">
        <v>24</v>
      </c>
      <c r="AM129" s="20"/>
      <c r="AN129" s="20"/>
    </row>
    <row r="130" spans="1:40" ht="30" customHeight="1" x14ac:dyDescent="0.25">
      <c r="A130" s="21"/>
      <c r="B130" s="3">
        <v>17.61</v>
      </c>
      <c r="C130" s="4">
        <v>17.510000000000002</v>
      </c>
      <c r="D130" s="5">
        <v>0</v>
      </c>
      <c r="F130" s="3">
        <v>20.82</v>
      </c>
      <c r="G130" s="4">
        <v>18.28</v>
      </c>
      <c r="H130" s="5">
        <v>0</v>
      </c>
      <c r="J130" s="3">
        <v>17.579999999999998</v>
      </c>
      <c r="K130" s="4">
        <v>17.53</v>
      </c>
      <c r="L130" s="5">
        <v>0</v>
      </c>
      <c r="N130" s="3">
        <v>21.9</v>
      </c>
      <c r="O130" s="4">
        <v>19.02</v>
      </c>
      <c r="P130" s="5">
        <v>0</v>
      </c>
      <c r="R130" s="3">
        <v>26.3</v>
      </c>
      <c r="S130" s="4">
        <v>20.25</v>
      </c>
      <c r="T130" s="5">
        <v>0</v>
      </c>
      <c r="V130" s="3">
        <v>26.99</v>
      </c>
      <c r="W130" s="4">
        <v>17.04</v>
      </c>
      <c r="X130" s="5">
        <v>0</v>
      </c>
      <c r="Z130" s="3">
        <v>30.55</v>
      </c>
      <c r="AA130" s="4">
        <v>15.04</v>
      </c>
      <c r="AB130" s="5">
        <v>0</v>
      </c>
      <c r="AD130" s="3">
        <v>23.74</v>
      </c>
      <c r="AE130" s="4">
        <v>10.02</v>
      </c>
      <c r="AF130" s="5">
        <v>0</v>
      </c>
      <c r="AH130" s="3">
        <v>19.73</v>
      </c>
      <c r="AI130" s="4">
        <v>9.57</v>
      </c>
      <c r="AJ130" s="5">
        <v>0</v>
      </c>
      <c r="AL130" s="3">
        <v>19.21</v>
      </c>
      <c r="AM130" s="4">
        <v>12.73</v>
      </c>
      <c r="AN130" s="5">
        <v>0</v>
      </c>
    </row>
    <row r="131" spans="1:40" x14ac:dyDescent="0.25">
      <c r="A131" s="21"/>
    </row>
    <row r="132" spans="1:40" x14ac:dyDescent="0.25">
      <c r="A132" s="21"/>
      <c r="B132" s="6">
        <f>SQRT(POWER((B127 - Point1_X),2) + POWER((C127 - Point1_Y),2))</f>
        <v>1.7226404151766554</v>
      </c>
      <c r="C132" s="7">
        <f>SQRT(POWER((F127 - Point2_X),2) + POWER((G127 - Point2_Y),2) )</f>
        <v>2.7141328265212077</v>
      </c>
      <c r="D132" s="8">
        <f>SQRT(POWER((J127 - Point3_X),2) + POWER((K127 - Point3_Y),2) )</f>
        <v>2.1893206708931419</v>
      </c>
      <c r="F132" s="6">
        <f>SQRT(POWER((N127 - Point4_X),2) + POWER((O127 - Point4_Y),2) )</f>
        <v>2.1419246018475993</v>
      </c>
      <c r="G132" s="7">
        <f>SQRT(POWER((R127 - Point5_X),2) + POWER((S127 - Point5_Y),2) )</f>
        <v>2.1631128033461406</v>
      </c>
      <c r="H132" s="8">
        <f>SQRT(POWER((V127 - Point6_X),2) + POWER((W127 - Point6_Y),2) )</f>
        <v>2.3953663602881292</v>
      </c>
      <c r="J132" s="6">
        <f>SQRT(POWER((Z127 - Point7_X),2) + POWER((AA127 - Point7_Y),2) )</f>
        <v>3.0898008026408439</v>
      </c>
      <c r="K132" s="7">
        <f>SQRT(POWER((AD127 - Point8_X),2) + POWER((AE127 - Point8_Y),2) )</f>
        <v>1.846732249136297</v>
      </c>
      <c r="L132" s="8">
        <f>SQRT(POWER((AH127 - Point9_X),2) + POWER((AI127 - Point9_Y),2) )</f>
        <v>1.0911173172487005</v>
      </c>
      <c r="N132" s="6">
        <f>SQRT(POWER((AL127 - Point10_X),2) + POWER((AM127 - Point10_Y),2) )</f>
        <v>6.2454553877199368</v>
      </c>
      <c r="O132" s="7">
        <f>SQRT(POWER((B130 - Point11_X),2) + POWER((C130 - Point11_Y),2) )</f>
        <v>4.1883057433764295</v>
      </c>
      <c r="P132" s="8">
        <f>SQRT(POWER((F130 - Point12_X),2) + POWER((G130 - Point12_Y),2) )</f>
        <v>5.2459532022312212</v>
      </c>
      <c r="R132" s="6">
        <f>SQRT(POWER((J130 - Point13_X),2) + POWER((K130 - Point13_Y),2) )</f>
        <v>1.0439276794874244</v>
      </c>
      <c r="S132" s="7">
        <f>SQRT(POWER((N130 - Point14_X),2) + POWER((O130 - Point14_Y),2) )</f>
        <v>1.0546757795645099</v>
      </c>
      <c r="T132" s="8">
        <f>SQRT(POWER((R130 - Point15_X),2) + POWER((S130 - Point15_Y),2))</f>
        <v>2.4191165742890499</v>
      </c>
      <c r="V132" s="6">
        <f>SQRT(POWER((V130 - Point16_X),2) + POWER((W130 - Point16_Y),2) )</f>
        <v>0.42265470540382971</v>
      </c>
      <c r="W132" s="7">
        <f>SQRT(POWER((Z130 - Point17_X),2) + POWER((AA130 - Point17_Y),2) )</f>
        <v>0.98508273764186927</v>
      </c>
      <c r="X132" s="8">
        <f>SQRT(POWER((AD130 - Point18_X),2) + POWER((AE130 - Point18_Y),2) )</f>
        <v>0.2615989296614179</v>
      </c>
      <c r="Z132" s="6">
        <f>SQRT(POWER((AH130 - Point19_X),2) + POWER((AI130 - Point19_Y),2) )</f>
        <v>2.2242043521223498</v>
      </c>
      <c r="AA132" s="8">
        <f>SQRT(POWER((AL130 - Point20_X),2) + POWER((AM130 - Point20_Y),2) )</f>
        <v>1.1766265337820674</v>
      </c>
      <c r="AD132" s="9">
        <f>AVERAGE(B132:AA132)</f>
        <v>2.2310874836189409</v>
      </c>
      <c r="AE132" s="10">
        <f>_xlfn.STDEV.P(B132:T132)</f>
        <v>1.4631704974958006</v>
      </c>
    </row>
    <row r="133" spans="1:40" ht="9.9499999999999993" customHeight="1" x14ac:dyDescent="0.25">
      <c r="A133" s="1"/>
    </row>
    <row r="134" spans="1:40" ht="15.75" x14ac:dyDescent="0.25">
      <c r="A134" s="21" t="s">
        <v>39</v>
      </c>
      <c r="B134" s="20" t="s">
        <v>5</v>
      </c>
      <c r="C134" s="20"/>
      <c r="D134" s="20"/>
      <c r="E134" s="2"/>
      <c r="F134" s="20" t="s">
        <v>6</v>
      </c>
      <c r="G134" s="20"/>
      <c r="H134" s="20"/>
      <c r="I134" s="2"/>
      <c r="J134" s="20" t="s">
        <v>7</v>
      </c>
      <c r="K134" s="20"/>
      <c r="L134" s="20"/>
      <c r="M134" s="2"/>
      <c r="N134" s="20" t="s">
        <v>8</v>
      </c>
      <c r="O134" s="20"/>
      <c r="P134" s="20"/>
      <c r="Q134" s="2"/>
      <c r="R134" s="20" t="s">
        <v>9</v>
      </c>
      <c r="S134" s="20"/>
      <c r="T134" s="20"/>
      <c r="U134" s="2"/>
      <c r="V134" s="20" t="s">
        <v>10</v>
      </c>
      <c r="W134" s="20"/>
      <c r="X134" s="20"/>
      <c r="Y134" s="2"/>
      <c r="Z134" s="20" t="s">
        <v>11</v>
      </c>
      <c r="AA134" s="20"/>
      <c r="AB134" s="20"/>
      <c r="AC134" s="2"/>
      <c r="AD134" s="20" t="s">
        <v>12</v>
      </c>
      <c r="AE134" s="20"/>
      <c r="AF134" s="20"/>
      <c r="AG134" s="2"/>
      <c r="AH134" s="20" t="s">
        <v>13</v>
      </c>
      <c r="AI134" s="20"/>
      <c r="AJ134" s="20"/>
      <c r="AK134" s="2"/>
      <c r="AL134" s="20" t="s">
        <v>14</v>
      </c>
      <c r="AM134" s="20"/>
      <c r="AN134" s="20"/>
    </row>
    <row r="135" spans="1:40" x14ac:dyDescent="0.25">
      <c r="A135" s="21"/>
      <c r="B135" s="3">
        <v>5.2</v>
      </c>
      <c r="C135" s="4">
        <v>3.4</v>
      </c>
      <c r="D135" s="5">
        <v>0</v>
      </c>
      <c r="F135" s="3">
        <v>3.2</v>
      </c>
      <c r="G135" s="4">
        <v>15.4</v>
      </c>
      <c r="H135" s="5">
        <v>0</v>
      </c>
      <c r="J135" s="3">
        <v>7.6</v>
      </c>
      <c r="K135" s="4">
        <v>9.8000000000000007</v>
      </c>
      <c r="L135" s="5">
        <v>0</v>
      </c>
      <c r="N135" s="3">
        <v>14</v>
      </c>
      <c r="O135" s="4">
        <v>7.6</v>
      </c>
      <c r="P135" s="5">
        <v>0</v>
      </c>
      <c r="R135" s="3">
        <v>6.8</v>
      </c>
      <c r="S135" s="4">
        <v>5.2</v>
      </c>
      <c r="T135" s="5">
        <v>0</v>
      </c>
      <c r="V135" s="3">
        <v>10.6</v>
      </c>
      <c r="W135" s="4">
        <v>10</v>
      </c>
      <c r="X135" s="5">
        <v>0</v>
      </c>
      <c r="Z135" s="3">
        <v>6</v>
      </c>
      <c r="AA135" s="4">
        <v>13.2</v>
      </c>
      <c r="AB135" s="5">
        <v>0</v>
      </c>
      <c r="AD135" s="3">
        <v>6.8</v>
      </c>
      <c r="AE135" s="4">
        <v>16.399999999999999</v>
      </c>
      <c r="AF135" s="5">
        <v>0</v>
      </c>
      <c r="AH135" s="3">
        <v>3</v>
      </c>
      <c r="AI135" s="4">
        <v>19.8</v>
      </c>
      <c r="AJ135" s="5">
        <v>0</v>
      </c>
      <c r="AL135" s="3">
        <v>0.8</v>
      </c>
      <c r="AM135" s="4">
        <v>20.399999999999999</v>
      </c>
      <c r="AN135" s="5">
        <v>0</v>
      </c>
    </row>
    <row r="136" spans="1:40" ht="9.9499999999999993" customHeight="1" x14ac:dyDescent="0.25">
      <c r="A136" s="21"/>
    </row>
    <row r="137" spans="1:40" ht="15.75" x14ac:dyDescent="0.25">
      <c r="A137" s="21"/>
      <c r="B137" s="20" t="s">
        <v>15</v>
      </c>
      <c r="C137" s="20"/>
      <c r="D137" s="20"/>
      <c r="E137" s="2"/>
      <c r="F137" s="20" t="s">
        <v>16</v>
      </c>
      <c r="G137" s="20"/>
      <c r="H137" s="20"/>
      <c r="I137" s="2"/>
      <c r="J137" s="20" t="s">
        <v>17</v>
      </c>
      <c r="K137" s="20"/>
      <c r="L137" s="20"/>
      <c r="M137" s="2"/>
      <c r="N137" s="20" t="s">
        <v>18</v>
      </c>
      <c r="O137" s="20"/>
      <c r="P137" s="20"/>
      <c r="Q137" s="2"/>
      <c r="R137" s="20" t="s">
        <v>19</v>
      </c>
      <c r="S137" s="20"/>
      <c r="T137" s="20"/>
      <c r="U137" s="2"/>
      <c r="V137" s="20" t="s">
        <v>20</v>
      </c>
      <c r="W137" s="20"/>
      <c r="X137" s="20"/>
      <c r="Y137" s="2"/>
      <c r="Z137" s="20" t="s">
        <v>21</v>
      </c>
      <c r="AA137" s="20"/>
      <c r="AB137" s="20"/>
      <c r="AC137" s="2"/>
      <c r="AD137" s="20" t="s">
        <v>22</v>
      </c>
      <c r="AE137" s="20"/>
      <c r="AF137" s="20"/>
      <c r="AG137" s="2"/>
      <c r="AH137" s="20" t="s">
        <v>23</v>
      </c>
      <c r="AI137" s="20"/>
      <c r="AJ137" s="20"/>
      <c r="AK137" s="2"/>
      <c r="AL137" s="20" t="s">
        <v>24</v>
      </c>
      <c r="AM137" s="20"/>
      <c r="AN137" s="20"/>
    </row>
    <row r="138" spans="1:40" ht="30" customHeight="1" x14ac:dyDescent="0.25">
      <c r="A138" s="21"/>
      <c r="B138" s="3">
        <v>7.6</v>
      </c>
      <c r="C138" s="4">
        <v>20.8</v>
      </c>
      <c r="D138" s="5">
        <v>0</v>
      </c>
      <c r="F138" s="3">
        <v>12</v>
      </c>
      <c r="G138" s="4">
        <v>16.2</v>
      </c>
      <c r="H138" s="5">
        <v>0</v>
      </c>
      <c r="J138" s="3">
        <v>16.8</v>
      </c>
      <c r="K138" s="4">
        <v>10</v>
      </c>
      <c r="L138" s="5">
        <v>0</v>
      </c>
      <c r="N138" s="3">
        <v>22.8</v>
      </c>
      <c r="O138" s="4">
        <v>18.8</v>
      </c>
      <c r="P138" s="5">
        <v>0</v>
      </c>
      <c r="R138" s="3">
        <v>31.2</v>
      </c>
      <c r="S138" s="4">
        <v>20</v>
      </c>
      <c r="T138" s="5">
        <v>0</v>
      </c>
      <c r="V138" s="3">
        <v>24.4</v>
      </c>
      <c r="W138" s="4">
        <v>17.600000000000001</v>
      </c>
      <c r="X138" s="5">
        <v>0</v>
      </c>
      <c r="Z138" s="3">
        <v>32.4</v>
      </c>
      <c r="AA138" s="4">
        <v>20.6</v>
      </c>
      <c r="AB138" s="5">
        <v>0</v>
      </c>
      <c r="AD138" s="3">
        <v>24.2</v>
      </c>
      <c r="AE138" s="4">
        <v>14.6</v>
      </c>
      <c r="AF138" s="5">
        <v>0</v>
      </c>
      <c r="AH138" s="3">
        <v>17.8</v>
      </c>
      <c r="AI138" s="4">
        <v>8.4</v>
      </c>
      <c r="AJ138" s="5">
        <v>0</v>
      </c>
      <c r="AL138" s="3">
        <v>17.399999999999999</v>
      </c>
      <c r="AM138" s="4">
        <v>13.8</v>
      </c>
      <c r="AN138" s="5">
        <v>0</v>
      </c>
    </row>
    <row r="139" spans="1:40" x14ac:dyDescent="0.25">
      <c r="A139" s="21"/>
    </row>
    <row r="140" spans="1:40" x14ac:dyDescent="0.25">
      <c r="A140" s="21"/>
      <c r="B140" s="6">
        <f>SQRT(POWER((B135 - Point1_X),2) + POWER((C135 - Point1_Y),2))</f>
        <v>1.7993471038129358</v>
      </c>
      <c r="C140" s="7">
        <f>SQRT(POWER((F135 - Point2_X),2) + POWER((G135 - Point2_Y),2) )</f>
        <v>7.4981822463847863</v>
      </c>
      <c r="D140" s="8">
        <f>SQRT(POWER((J135 - Point3_X),2) + POWER((K135 - Point3_Y),2) )</f>
        <v>1.4886923792375648</v>
      </c>
      <c r="F140" s="6">
        <f>SQRT(POWER((N135 - Point4_X),2) + POWER((O135 - Point4_Y),2) )</f>
        <v>2.1119803502873786</v>
      </c>
      <c r="G140" s="7">
        <f>SQRT(POWER((R135 - Point5_X),2) + POWER((S135 - Point5_Y),2) )</f>
        <v>9.1741668286553413</v>
      </c>
      <c r="H140" s="8">
        <f>SQRT(POWER((V135 - Point6_X),2) + POWER((W135 - Point6_Y),2) )</f>
        <v>2.4240462041801107</v>
      </c>
      <c r="J140" s="6">
        <f>SQRT(POWER((Z135 - Point7_X),2) + POWER((AA135 - Point7_Y),2) )</f>
        <v>1.079420677956469</v>
      </c>
      <c r="K140" s="7">
        <f>SQRT(POWER((AD135 - Point8_X),2) + POWER((AE135 - Point8_Y),2) )</f>
        <v>3.1264964417059571</v>
      </c>
      <c r="L140" s="8">
        <f>SQRT(POWER((AH135 - Point9_X),2) + POWER((AI135 - Point9_Y),2) )</f>
        <v>4.8329159934764023</v>
      </c>
      <c r="N140" s="6">
        <f>SQRT(POWER((AL135 - Point10_X),2) + POWER((AM135 - Point10_Y),2) )</f>
        <v>11.118903408160357</v>
      </c>
      <c r="O140" s="7">
        <f>SQRT(POWER((B138 - Point11_X),2) + POWER((C138 - Point11_Y),2) )</f>
        <v>6.3720142027462563</v>
      </c>
      <c r="P140" s="8">
        <f>SQRT(POWER((F138 - Point12_X),2) + POWER((G138 - Point12_Y),2) )</f>
        <v>4.2290028375492961</v>
      </c>
      <c r="R140" s="6">
        <f>SQRT(POWER((J138 - Point13_X),2) + POWER((K138 - Point13_Y),2) )</f>
        <v>8.612508635699589</v>
      </c>
      <c r="S140" s="7">
        <f>SQRT(POWER((N138 - Point14_X),2) + POWER((O138 - Point14_Y),2) )</f>
        <v>0.38385023121003919</v>
      </c>
      <c r="T140" s="8">
        <f>SQRT(POWER((R138 - Point15_X),2) + POWER((S138 - Point15_Y),2))</f>
        <v>2.489543130777212</v>
      </c>
      <c r="V140" s="6">
        <f>SQRT(POWER((V138 - Point16_X),2) + POWER((W138 - Point16_Y),2) )</f>
        <v>2.4965570291904045</v>
      </c>
      <c r="W140" s="7">
        <f>SQRT(POWER((Z138 - Point17_X),2) + POWER((AA138 - Point17_Y),2) )</f>
        <v>5.230480666248563</v>
      </c>
      <c r="X140" s="8">
        <f>SQRT(POWER((AD138 - Point18_X),2) + POWER((AE138 - Point18_Y),2) )</f>
        <v>4.7910952818744894</v>
      </c>
      <c r="Z140" s="6">
        <f>SQRT(POWER((AH138 - Point19_X),2) + POWER((AI138 - Point19_Y),2) )</f>
        <v>0.58005603177624099</v>
      </c>
      <c r="AA140" s="8">
        <f>SQRT(POWER((AL138 - Point20_X),2) + POWER((AM138 - Point20_Y),2) )</f>
        <v>1.0058081327967083</v>
      </c>
      <c r="AD140" s="9">
        <f>AVERAGE(B140:AA140)</f>
        <v>4.0422533906863043</v>
      </c>
      <c r="AE140" s="10">
        <f>_xlfn.STDEV.P(B140:T140)</f>
        <v>3.2265055989940565</v>
      </c>
    </row>
    <row r="141" spans="1:40" ht="9.9499999999999993" customHeight="1" x14ac:dyDescent="0.25">
      <c r="A141" s="1" t="s">
        <v>40</v>
      </c>
    </row>
    <row r="142" spans="1:40" ht="15.75" x14ac:dyDescent="0.25">
      <c r="A142" s="21" t="s">
        <v>41</v>
      </c>
      <c r="B142" s="20" t="s">
        <v>5</v>
      </c>
      <c r="C142" s="20"/>
      <c r="D142" s="20"/>
      <c r="E142" s="2"/>
      <c r="F142" s="20" t="s">
        <v>6</v>
      </c>
      <c r="G142" s="20"/>
      <c r="H142" s="20"/>
      <c r="I142" s="2"/>
      <c r="J142" s="20" t="s">
        <v>7</v>
      </c>
      <c r="K142" s="20"/>
      <c r="L142" s="20"/>
      <c r="M142" s="2"/>
      <c r="N142" s="20" t="s">
        <v>8</v>
      </c>
      <c r="O142" s="20"/>
      <c r="P142" s="20"/>
      <c r="Q142" s="2"/>
      <c r="R142" s="20" t="s">
        <v>9</v>
      </c>
      <c r="S142" s="20"/>
      <c r="T142" s="20"/>
      <c r="U142" s="2"/>
      <c r="V142" s="20" t="s">
        <v>10</v>
      </c>
      <c r="W142" s="20"/>
      <c r="X142" s="20"/>
      <c r="Y142" s="2"/>
      <c r="Z142" s="20" t="s">
        <v>11</v>
      </c>
      <c r="AA142" s="20"/>
      <c r="AB142" s="20"/>
      <c r="AC142" s="2"/>
      <c r="AD142" s="20" t="s">
        <v>12</v>
      </c>
      <c r="AE142" s="20"/>
      <c r="AF142" s="20"/>
      <c r="AG142" s="2"/>
      <c r="AH142" s="20" t="s">
        <v>13</v>
      </c>
      <c r="AI142" s="20"/>
      <c r="AJ142" s="20"/>
      <c r="AK142" s="2"/>
      <c r="AL142" s="20" t="s">
        <v>14</v>
      </c>
      <c r="AM142" s="20"/>
      <c r="AN142" s="20"/>
    </row>
    <row r="143" spans="1:40" x14ac:dyDescent="0.25">
      <c r="A143" s="21"/>
      <c r="B143" s="3">
        <v>16.55</v>
      </c>
      <c r="C143" s="4">
        <v>13.7</v>
      </c>
      <c r="D143" s="5">
        <v>0</v>
      </c>
      <c r="F143" s="3">
        <v>6.65</v>
      </c>
      <c r="G143" s="4">
        <v>9.8000000000000007</v>
      </c>
      <c r="H143" s="5">
        <v>0</v>
      </c>
      <c r="J143" s="3">
        <v>6.65</v>
      </c>
      <c r="K143" s="4">
        <v>9.8000000000000007</v>
      </c>
      <c r="L143" s="5">
        <v>0</v>
      </c>
      <c r="N143" s="3">
        <v>5.65</v>
      </c>
      <c r="O143" s="4">
        <v>15.9</v>
      </c>
      <c r="P143" s="5">
        <v>0</v>
      </c>
      <c r="R143" s="3">
        <v>15.05</v>
      </c>
      <c r="S143" s="4">
        <v>10.3</v>
      </c>
      <c r="T143" s="5">
        <v>0</v>
      </c>
      <c r="V143" s="3">
        <v>16.149999999999999</v>
      </c>
      <c r="W143" s="4">
        <v>11.95</v>
      </c>
      <c r="X143" s="5">
        <v>0</v>
      </c>
      <c r="Z143" s="3">
        <v>6.65</v>
      </c>
      <c r="AA143" s="4">
        <v>9.8000000000000007</v>
      </c>
      <c r="AB143" s="5">
        <v>0</v>
      </c>
      <c r="AD143" s="3">
        <v>6.65</v>
      </c>
      <c r="AE143" s="4">
        <v>9.8000000000000007</v>
      </c>
      <c r="AF143" s="5">
        <v>0</v>
      </c>
      <c r="AH143" s="3">
        <v>6.65</v>
      </c>
      <c r="AI143" s="4">
        <v>9.8000000000000007</v>
      </c>
      <c r="AJ143" s="5">
        <v>0</v>
      </c>
      <c r="AL143" s="3">
        <v>6.65</v>
      </c>
      <c r="AM143" s="4">
        <v>9.8000000000000007</v>
      </c>
      <c r="AN143" s="5">
        <v>0</v>
      </c>
    </row>
    <row r="144" spans="1:40" ht="9.9499999999999993" customHeight="1" x14ac:dyDescent="0.25">
      <c r="A144" s="21"/>
    </row>
    <row r="145" spans="1:40" ht="15.75" x14ac:dyDescent="0.25">
      <c r="A145" s="21"/>
      <c r="B145" s="20" t="s">
        <v>15</v>
      </c>
      <c r="C145" s="20"/>
      <c r="D145" s="20"/>
      <c r="E145" s="2"/>
      <c r="F145" s="20" t="s">
        <v>16</v>
      </c>
      <c r="G145" s="20"/>
      <c r="H145" s="20"/>
      <c r="I145" s="2"/>
      <c r="J145" s="20" t="s">
        <v>17</v>
      </c>
      <c r="K145" s="20"/>
      <c r="L145" s="20"/>
      <c r="M145" s="2"/>
      <c r="N145" s="20" t="s">
        <v>18</v>
      </c>
      <c r="O145" s="20"/>
      <c r="P145" s="20"/>
      <c r="Q145" s="2"/>
      <c r="R145" s="20" t="s">
        <v>19</v>
      </c>
      <c r="S145" s="20"/>
      <c r="T145" s="20"/>
      <c r="U145" s="2"/>
      <c r="V145" s="20" t="s">
        <v>20</v>
      </c>
      <c r="W145" s="20"/>
      <c r="X145" s="20"/>
      <c r="Y145" s="2"/>
      <c r="Z145" s="20" t="s">
        <v>21</v>
      </c>
      <c r="AA145" s="20"/>
      <c r="AB145" s="20"/>
      <c r="AC145" s="2"/>
      <c r="AD145" s="20" t="s">
        <v>22</v>
      </c>
      <c r="AE145" s="20"/>
      <c r="AF145" s="20"/>
      <c r="AG145" s="2"/>
      <c r="AH145" s="20" t="s">
        <v>23</v>
      </c>
      <c r="AI145" s="20"/>
      <c r="AJ145" s="20"/>
      <c r="AK145" s="2"/>
      <c r="AL145" s="20" t="s">
        <v>24</v>
      </c>
      <c r="AM145" s="20"/>
      <c r="AN145" s="20"/>
    </row>
    <row r="146" spans="1:40" ht="30" customHeight="1" x14ac:dyDescent="0.25">
      <c r="A146" s="21"/>
      <c r="B146" s="3">
        <v>25.15</v>
      </c>
      <c r="C146" s="4">
        <v>13.3</v>
      </c>
      <c r="D146" s="5">
        <v>0</v>
      </c>
      <c r="F146" s="3">
        <v>25.15</v>
      </c>
      <c r="G146" s="4">
        <v>13.3</v>
      </c>
      <c r="H146" s="5">
        <v>0</v>
      </c>
      <c r="J146" s="3">
        <v>25.15</v>
      </c>
      <c r="K146" s="4">
        <v>13.3</v>
      </c>
      <c r="L146" s="5">
        <v>0</v>
      </c>
      <c r="N146" s="3">
        <v>18.55</v>
      </c>
      <c r="O146" s="4">
        <v>19.350000000000001</v>
      </c>
      <c r="P146" s="5">
        <v>0</v>
      </c>
      <c r="R146" s="3">
        <v>29.7</v>
      </c>
      <c r="S146" s="4">
        <v>19.95</v>
      </c>
      <c r="T146" s="5">
        <v>0</v>
      </c>
      <c r="V146" s="3">
        <v>26.55</v>
      </c>
      <c r="W146" s="4">
        <v>16.649999999999999</v>
      </c>
      <c r="X146" s="5">
        <v>0</v>
      </c>
      <c r="Z146" s="3">
        <v>32.049999999999997</v>
      </c>
      <c r="AA146" s="4">
        <v>15.3</v>
      </c>
      <c r="AB146" s="5">
        <v>0</v>
      </c>
      <c r="AD146" s="3">
        <v>29.6</v>
      </c>
      <c r="AE146" s="4">
        <v>16.8</v>
      </c>
      <c r="AF146" s="5">
        <v>0</v>
      </c>
      <c r="AH146" s="3">
        <v>30.7</v>
      </c>
      <c r="AI146" s="4">
        <v>15.8</v>
      </c>
      <c r="AJ146" s="5">
        <v>0</v>
      </c>
      <c r="AL146" s="3">
        <v>25.15</v>
      </c>
      <c r="AM146" s="4">
        <v>13.3</v>
      </c>
      <c r="AN146" s="5">
        <v>0</v>
      </c>
    </row>
    <row r="147" spans="1:40" x14ac:dyDescent="0.25">
      <c r="A147" s="21"/>
    </row>
    <row r="148" spans="1:40" x14ac:dyDescent="0.25">
      <c r="A148" s="21"/>
      <c r="B148" s="6">
        <f>SQRT(POWER((B143 - Point1_X),2) + POWER((C143 - Point1_Y),2))</f>
        <v>17.111564802787615</v>
      </c>
      <c r="C148" s="7">
        <f>SQRT(POWER((F143 - Point2_X),2) + POWER((G143 - Point2_Y),2) )</f>
        <v>4.4066809505567797</v>
      </c>
      <c r="D148" s="8">
        <f>SQRT(POWER((J143 - Point3_X),2) + POWER((K143 - Point3_Y),2) )</f>
        <v>1.1022272905349431</v>
      </c>
      <c r="F148" s="6">
        <f>SQRT(POWER((N143 - Point4_X),2) + POWER((O143 - Point4_Y),2) )</f>
        <v>13.05517755528434</v>
      </c>
      <c r="G148" s="7">
        <f>SQRT(POWER((R143 - Point5_X),2) + POWER((S143 - Point5_Y),2) )</f>
        <v>0.52880714821189934</v>
      </c>
      <c r="H148" s="8">
        <f>SQRT(POWER((V143 - Point6_X),2) + POWER((W143 - Point6_Y),2) )</f>
        <v>6.3707613359786111</v>
      </c>
      <c r="J148" s="6">
        <f>SQRT(POWER((Z143 - Point7_X),2) + POWER((AA143 - Point7_Y),2) )</f>
        <v>4.4686741881681193</v>
      </c>
      <c r="K148" s="7">
        <f>SQRT(POWER((AD143 - Point8_X),2) + POWER((AE143 - Point8_Y),2) )</f>
        <v>8.9490938088724938</v>
      </c>
      <c r="L148" s="8">
        <f>SQRT(POWER((AH143 - Point9_X),2) + POWER((AI143 - Point9_Y),2) )</f>
        <v>8.656198761581205</v>
      </c>
      <c r="N148" s="6">
        <f>SQRT(POWER((AL143 - Point10_X),2) + POWER((AM143 - Point10_Y),2) )</f>
        <v>9.9176515869433519</v>
      </c>
      <c r="O148" s="7">
        <f>SQRT(POWER((B146 - Point11_X),2) + POWER((C146 - Point11_Y),2) )</f>
        <v>12.718347573486108</v>
      </c>
      <c r="P148" s="8">
        <f>SQRT(POWER((F146 - Point12_X),2) + POWER((G146 - Point12_Y),2) )</f>
        <v>10.873208588084751</v>
      </c>
      <c r="R148" s="6">
        <f>SQRT(POWER((J146 - Point13_X),2) + POWER((K146 - Point13_Y),2) )</f>
        <v>9.1894072170080694</v>
      </c>
      <c r="S148" s="7">
        <f>SQRT(POWER((N146 - Point14_X),2) + POWER((O146 - Point14_Y),2) )</f>
        <v>4.4003228290660683</v>
      </c>
      <c r="T148" s="8">
        <f>SQRT(POWER((R146 - Point15_X),2) + POWER((S146 - Point15_Y),2))</f>
        <v>0.99424594542799205</v>
      </c>
      <c r="V148" s="6">
        <f>SQRT(POWER((V146 - Point16_X),2) + POWER((W146 - Point16_Y),2) )</f>
        <v>0.18946503635235828</v>
      </c>
      <c r="W148" s="7">
        <f>SQRT(POWER((Z146 - Point17_X),2) + POWER((AA146 - Point17_Y),2) )</f>
        <v>0.62819423747754655</v>
      </c>
      <c r="X148" s="8">
        <f>SQRT(POWER((AD146 - Point18_X),2) + POWER((AE146 - Point18_Y),2) )</f>
        <v>9.2191644957664156</v>
      </c>
      <c r="Z148" s="6">
        <f>SQRT(POWER((AH146 - Point19_X),2) + POWER((AI146 - Point19_Y),2) )</f>
        <v>14.78963370067021</v>
      </c>
      <c r="AA148" s="8">
        <f>SQRT(POWER((AL146 - Point20_X),2) + POWER((AM146 - Point20_Y),2) )</f>
        <v>6.7780269990610096</v>
      </c>
      <c r="AD148" s="9">
        <f>AVERAGE(B148:AA148)</f>
        <v>7.2173427025659951</v>
      </c>
      <c r="AE148" s="10">
        <f>_xlfn.STDEV.P(B148:T148)</f>
        <v>4.729188443902844</v>
      </c>
    </row>
    <row r="149" spans="1:40" ht="9.9499999999999993" customHeight="1" x14ac:dyDescent="0.25">
      <c r="A149" s="1"/>
    </row>
    <row r="150" spans="1:40" ht="15.75" x14ac:dyDescent="0.25">
      <c r="A150" s="21" t="s">
        <v>42</v>
      </c>
      <c r="B150" s="20" t="s">
        <v>5</v>
      </c>
      <c r="C150" s="20"/>
      <c r="D150" s="20"/>
      <c r="E150" s="2"/>
      <c r="F150" s="20" t="s">
        <v>6</v>
      </c>
      <c r="G150" s="20"/>
      <c r="H150" s="20"/>
      <c r="I150" s="2"/>
      <c r="J150" s="20" t="s">
        <v>7</v>
      </c>
      <c r="K150" s="20"/>
      <c r="L150" s="20"/>
      <c r="M150" s="2"/>
      <c r="N150" s="20" t="s">
        <v>8</v>
      </c>
      <c r="O150" s="20"/>
      <c r="P150" s="20"/>
      <c r="Q150" s="2"/>
      <c r="R150" s="20" t="s">
        <v>9</v>
      </c>
      <c r="S150" s="20"/>
      <c r="T150" s="20"/>
      <c r="U150" s="2"/>
      <c r="V150" s="20" t="s">
        <v>10</v>
      </c>
      <c r="W150" s="20"/>
      <c r="X150" s="20"/>
      <c r="Y150" s="2"/>
      <c r="Z150" s="20" t="s">
        <v>11</v>
      </c>
      <c r="AA150" s="20"/>
      <c r="AB150" s="20"/>
      <c r="AC150" s="2"/>
      <c r="AD150" s="20" t="s">
        <v>12</v>
      </c>
      <c r="AE150" s="20"/>
      <c r="AF150" s="20"/>
      <c r="AG150" s="2"/>
      <c r="AH150" s="20" t="s">
        <v>13</v>
      </c>
      <c r="AI150" s="20"/>
      <c r="AJ150" s="20"/>
      <c r="AK150" s="2"/>
      <c r="AL150" s="20" t="s">
        <v>14</v>
      </c>
      <c r="AM150" s="20"/>
      <c r="AN150" s="20"/>
    </row>
    <row r="151" spans="1:40" x14ac:dyDescent="0.25">
      <c r="A151" s="21"/>
      <c r="B151" s="3"/>
      <c r="C151" s="4"/>
      <c r="D151" s="5"/>
      <c r="F151" s="3"/>
      <c r="G151" s="4"/>
      <c r="H151" s="5"/>
      <c r="J151" s="3"/>
      <c r="K151" s="4"/>
      <c r="L151" s="5"/>
      <c r="N151" s="3"/>
      <c r="O151" s="4"/>
      <c r="P151" s="5"/>
      <c r="R151" s="3"/>
      <c r="S151" s="4"/>
      <c r="T151" s="5"/>
      <c r="V151" s="3"/>
      <c r="W151" s="4"/>
      <c r="X151" s="5"/>
      <c r="Z151" s="3"/>
      <c r="AA151" s="4"/>
      <c r="AB151" s="5"/>
      <c r="AD151" s="3"/>
      <c r="AE151" s="4"/>
      <c r="AF151" s="5"/>
      <c r="AH151" s="3"/>
      <c r="AI151" s="4"/>
      <c r="AJ151" s="5"/>
      <c r="AL151" s="3"/>
      <c r="AM151" s="4"/>
      <c r="AN151" s="5"/>
    </row>
    <row r="152" spans="1:40" ht="9.9499999999999993" customHeight="1" x14ac:dyDescent="0.25">
      <c r="A152" s="21"/>
    </row>
    <row r="153" spans="1:40" ht="15.75" x14ac:dyDescent="0.25">
      <c r="A153" s="21"/>
      <c r="B153" s="20" t="s">
        <v>15</v>
      </c>
      <c r="C153" s="20"/>
      <c r="D153" s="20"/>
      <c r="E153" s="2"/>
      <c r="F153" s="20" t="s">
        <v>16</v>
      </c>
      <c r="G153" s="20"/>
      <c r="H153" s="20"/>
      <c r="I153" s="2"/>
      <c r="J153" s="20" t="s">
        <v>17</v>
      </c>
      <c r="K153" s="20"/>
      <c r="L153" s="20"/>
      <c r="M153" s="2"/>
      <c r="N153" s="20" t="s">
        <v>18</v>
      </c>
      <c r="O153" s="20"/>
      <c r="P153" s="20"/>
      <c r="Q153" s="2"/>
      <c r="R153" s="20" t="s">
        <v>19</v>
      </c>
      <c r="S153" s="20"/>
      <c r="T153" s="20"/>
      <c r="U153" s="2"/>
      <c r="V153" s="20" t="s">
        <v>20</v>
      </c>
      <c r="W153" s="20"/>
      <c r="X153" s="20"/>
      <c r="Y153" s="2"/>
      <c r="Z153" s="20" t="s">
        <v>21</v>
      </c>
      <c r="AA153" s="20"/>
      <c r="AB153" s="20"/>
      <c r="AC153" s="2"/>
      <c r="AD153" s="20" t="s">
        <v>22</v>
      </c>
      <c r="AE153" s="20"/>
      <c r="AF153" s="20"/>
      <c r="AG153" s="2"/>
      <c r="AH153" s="20" t="s">
        <v>23</v>
      </c>
      <c r="AI153" s="20"/>
      <c r="AJ153" s="20"/>
      <c r="AK153" s="2"/>
      <c r="AL153" s="20" t="s">
        <v>24</v>
      </c>
      <c r="AM153" s="20"/>
      <c r="AN153" s="20"/>
    </row>
    <row r="154" spans="1:40" ht="30" customHeight="1" x14ac:dyDescent="0.25">
      <c r="A154" s="21"/>
      <c r="B154" s="3"/>
      <c r="C154" s="4"/>
      <c r="D154" s="5"/>
      <c r="F154" s="3"/>
      <c r="G154" s="4"/>
      <c r="H154" s="5"/>
      <c r="J154" s="3"/>
      <c r="K154" s="4"/>
      <c r="L154" s="5"/>
      <c r="N154" s="3"/>
      <c r="O154" s="4"/>
      <c r="P154" s="5"/>
      <c r="R154" s="3"/>
      <c r="S154" s="4"/>
      <c r="T154" s="5"/>
      <c r="V154" s="3"/>
      <c r="W154" s="4"/>
      <c r="X154" s="5"/>
      <c r="Z154" s="3"/>
      <c r="AA154" s="4"/>
      <c r="AB154" s="5"/>
      <c r="AD154" s="3"/>
      <c r="AE154" s="4"/>
      <c r="AF154" s="5"/>
      <c r="AH154" s="3"/>
      <c r="AI154" s="4"/>
      <c r="AJ154" s="5"/>
      <c r="AL154" s="3"/>
      <c r="AM154" s="4"/>
      <c r="AN154" s="5"/>
    </row>
    <row r="155" spans="1:40" x14ac:dyDescent="0.25">
      <c r="A155" s="21"/>
    </row>
    <row r="156" spans="1:40" x14ac:dyDescent="0.25">
      <c r="A156" s="21"/>
      <c r="B156" s="6">
        <f>SQRT(POWER((B151 - Point1_X),2) + POWER((C151 - Point1_Y),2))</f>
        <v>4.4142100085972347</v>
      </c>
      <c r="C156" s="7">
        <f>SQRT(POWER((F151 - Point2_X),2) + POWER((G151 - Point2_Y),2) )</f>
        <v>8.3569813329933922</v>
      </c>
      <c r="D156" s="8">
        <f>SQRT(POWER((J151 - Point3_X),2) + POWER((K151 - Point3_Y),2) )</f>
        <v>10.91815941448008</v>
      </c>
      <c r="F156" s="6">
        <f>SQRT(POWER((N151 - Point4_X),2) + POWER((O151 - Point4_Y),2) )</f>
        <v>14.663712388068719</v>
      </c>
      <c r="G156" s="7">
        <f>SQRT(POWER((R151 - Point5_X),2) + POWER((S151 - Point5_Y),2) )</f>
        <v>17.709696129521816</v>
      </c>
      <c r="H156" s="8">
        <f>SQRT(POWER((V151 - Point6_X),2) + POWER((W151 - Point6_Y),2) )</f>
        <v>15.706737407876915</v>
      </c>
      <c r="J156" s="6">
        <f>SQRT(POWER((Z151 - Point7_X),2) + POWER((AA151 - Point7_Y),2) )</f>
        <v>15.078234279914874</v>
      </c>
      <c r="K156" s="7">
        <f>SQRT(POWER((AD151 - Point8_X),2) + POWER((AE151 - Point8_Y),2) )</f>
        <v>19.009570747389329</v>
      </c>
      <c r="L156" s="8">
        <f>SQRT(POWER((AH151 - Point9_X),2) + POWER((AI151 - Point9_Y),2) )</f>
        <v>19.918651485479632</v>
      </c>
      <c r="N156" s="6">
        <f>SQRT(POWER((AL151 - Point10_X),2) + POWER((AM151 - Point10_Y),2) )</f>
        <v>21.751423240790476</v>
      </c>
      <c r="O156" s="7">
        <f>SQRT(POWER((B154 - Point11_X),2) + POWER((C154 - Point11_Y),2) )</f>
        <v>22.912498008728775</v>
      </c>
      <c r="P156" s="8">
        <f>SQRT(POWER((F154 - Point12_X),2) + POWER((G154 - Point12_Y),2) )</f>
        <v>24.150918512553513</v>
      </c>
      <c r="R156" s="6">
        <f>SQRT(POWER((J154 - Point13_X),2) + POWER((K154 - Point13_Y),2) )</f>
        <v>25.60393924770171</v>
      </c>
      <c r="S156" s="7">
        <f>SQRT(POWER((N154 - Point14_X),2) + POWER((O154 - Point14_Y),2) )</f>
        <v>29.890348626270658</v>
      </c>
      <c r="T156" s="8">
        <f>SQRT(POWER((R154 - Point15_X),2) + POWER((S154 - Point15_Y),2))</f>
        <v>35.020054611607904</v>
      </c>
      <c r="V156" s="6">
        <f>SQRT(POWER((V154 - Point16_X),2) + POWER((W154 - Point16_Y),2) )</f>
        <v>31.52200496478611</v>
      </c>
      <c r="W156" s="7">
        <f>SQRT(POWER((Z154 - Point17_X),2) + POWER((AA154 - Point17_Y),2) )</f>
        <v>35.036397189208827</v>
      </c>
      <c r="X156" s="8">
        <f>SQRT(POWER((AD154 - Point18_X),2) + POWER((AE154 - Point18_Y),2) )</f>
        <v>25.51688448851074</v>
      </c>
      <c r="Z156" s="6">
        <f>SQRT(POWER((AH154 - Point19_X),2) + POWER((AI154 - Point19_Y),2) )</f>
        <v>19.738198119382631</v>
      </c>
      <c r="AA156" s="8">
        <f>SQRT(POWER((AL154 - Point20_X),2) + POWER((AM154 - Point20_Y),2) )</f>
        <v>22.83888898348604</v>
      </c>
      <c r="AD156" s="9">
        <f>AVERAGE(B156:AA156)</f>
        <v>20.987875459367466</v>
      </c>
      <c r="AE156" s="10">
        <f>_xlfn.STDEV.P(B156:T156)</f>
        <v>7.7766163434900157</v>
      </c>
    </row>
    <row r="157" spans="1:40" ht="9.9499999999999993" customHeight="1" x14ac:dyDescent="0.25">
      <c r="A157" s="1"/>
    </row>
    <row r="158" spans="1:40" ht="15.75" x14ac:dyDescent="0.25">
      <c r="A158" s="21" t="s">
        <v>43</v>
      </c>
      <c r="B158" s="20" t="s">
        <v>5</v>
      </c>
      <c r="C158" s="20"/>
      <c r="D158" s="20"/>
      <c r="E158" s="2"/>
      <c r="F158" s="20" t="s">
        <v>6</v>
      </c>
      <c r="G158" s="20"/>
      <c r="H158" s="20"/>
      <c r="I158" s="2"/>
      <c r="J158" s="20" t="s">
        <v>7</v>
      </c>
      <c r="K158" s="20"/>
      <c r="L158" s="20"/>
      <c r="M158" s="2"/>
      <c r="N158" s="20" t="s">
        <v>8</v>
      </c>
      <c r="O158" s="20"/>
      <c r="P158" s="20"/>
      <c r="Q158" s="2"/>
      <c r="R158" s="20" t="s">
        <v>9</v>
      </c>
      <c r="S158" s="20"/>
      <c r="T158" s="20"/>
      <c r="U158" s="2"/>
      <c r="V158" s="20" t="s">
        <v>10</v>
      </c>
      <c r="W158" s="20"/>
      <c r="X158" s="20"/>
      <c r="Y158" s="2"/>
      <c r="Z158" s="20" t="s">
        <v>11</v>
      </c>
      <c r="AA158" s="20"/>
      <c r="AB158" s="20"/>
      <c r="AC158" s="2"/>
      <c r="AD158" s="20" t="s">
        <v>12</v>
      </c>
      <c r="AE158" s="20"/>
      <c r="AF158" s="20"/>
      <c r="AG158" s="2"/>
      <c r="AH158" s="20" t="s">
        <v>13</v>
      </c>
      <c r="AI158" s="20"/>
      <c r="AJ158" s="20"/>
      <c r="AK158" s="2"/>
      <c r="AL158" s="20" t="s">
        <v>14</v>
      </c>
      <c r="AM158" s="20"/>
      <c r="AN158" s="20"/>
    </row>
    <row r="159" spans="1:40" x14ac:dyDescent="0.25">
      <c r="A159" s="21"/>
      <c r="B159" s="3">
        <v>5.25</v>
      </c>
      <c r="C159" s="4">
        <v>12.75</v>
      </c>
      <c r="D159" s="5">
        <v>0</v>
      </c>
      <c r="F159" s="3">
        <v>0.75</v>
      </c>
      <c r="G159" s="4">
        <v>12.75</v>
      </c>
      <c r="H159" s="5">
        <v>0</v>
      </c>
      <c r="J159" s="3">
        <v>12.75</v>
      </c>
      <c r="K159" s="4">
        <v>11.25</v>
      </c>
      <c r="L159" s="5">
        <v>0</v>
      </c>
      <c r="N159" s="3">
        <v>8.25</v>
      </c>
      <c r="O159" s="4">
        <v>12.75</v>
      </c>
      <c r="P159" s="5">
        <v>0</v>
      </c>
      <c r="R159" s="3">
        <v>14.25</v>
      </c>
      <c r="S159" s="4">
        <v>12.75</v>
      </c>
      <c r="T159" s="5">
        <v>0</v>
      </c>
      <c r="V159" s="3">
        <v>11.25</v>
      </c>
      <c r="W159" s="4">
        <v>11.25</v>
      </c>
      <c r="X159" s="5">
        <v>0</v>
      </c>
      <c r="Z159" s="3">
        <v>0.75</v>
      </c>
      <c r="AA159" s="4">
        <v>12.75</v>
      </c>
      <c r="AB159" s="5">
        <v>0</v>
      </c>
      <c r="AD159" s="3">
        <v>0.75</v>
      </c>
      <c r="AE159" s="4">
        <v>12.75</v>
      </c>
      <c r="AF159" s="5">
        <v>0</v>
      </c>
      <c r="AH159" s="3">
        <v>8.25</v>
      </c>
      <c r="AI159" s="4">
        <v>9.75</v>
      </c>
      <c r="AJ159" s="5">
        <v>0</v>
      </c>
      <c r="AL159" s="3">
        <v>12.75</v>
      </c>
      <c r="AM159" s="4">
        <v>11.25</v>
      </c>
      <c r="AN159" s="5">
        <v>0</v>
      </c>
    </row>
    <row r="160" spans="1:40" ht="9.9499999999999993" customHeight="1" x14ac:dyDescent="0.25">
      <c r="A160" s="21"/>
    </row>
    <row r="161" spans="1:40" ht="15.75" x14ac:dyDescent="0.25">
      <c r="A161" s="21"/>
      <c r="B161" s="20" t="s">
        <v>15</v>
      </c>
      <c r="C161" s="20"/>
      <c r="D161" s="20"/>
      <c r="E161" s="2"/>
      <c r="F161" s="20" t="s">
        <v>16</v>
      </c>
      <c r="G161" s="20"/>
      <c r="H161" s="20"/>
      <c r="I161" s="2"/>
      <c r="J161" s="20" t="s">
        <v>17</v>
      </c>
      <c r="K161" s="20"/>
      <c r="L161" s="20"/>
      <c r="M161" s="2"/>
      <c r="N161" s="20" t="s">
        <v>18</v>
      </c>
      <c r="O161" s="20"/>
      <c r="P161" s="20"/>
      <c r="Q161" s="2"/>
      <c r="R161" s="20" t="s">
        <v>19</v>
      </c>
      <c r="S161" s="20"/>
      <c r="T161" s="20"/>
      <c r="U161" s="2"/>
      <c r="V161" s="20" t="s">
        <v>20</v>
      </c>
      <c r="W161" s="20"/>
      <c r="X161" s="20"/>
      <c r="Y161" s="2"/>
      <c r="Z161" s="20" t="s">
        <v>21</v>
      </c>
      <c r="AA161" s="20"/>
      <c r="AB161" s="20"/>
      <c r="AC161" s="2"/>
      <c r="AD161" s="20" t="s">
        <v>22</v>
      </c>
      <c r="AE161" s="20"/>
      <c r="AF161" s="20"/>
      <c r="AG161" s="2"/>
      <c r="AH161" s="20" t="s">
        <v>23</v>
      </c>
      <c r="AI161" s="20"/>
      <c r="AJ161" s="20"/>
      <c r="AK161" s="2"/>
      <c r="AL161" s="20" t="s">
        <v>24</v>
      </c>
      <c r="AM161" s="20"/>
      <c r="AN161" s="20"/>
    </row>
    <row r="162" spans="1:40" ht="30" customHeight="1" x14ac:dyDescent="0.25">
      <c r="A162" s="21"/>
      <c r="B162" s="3">
        <v>23.25</v>
      </c>
      <c r="C162" s="4">
        <v>15.75</v>
      </c>
      <c r="D162" s="5">
        <v>0</v>
      </c>
      <c r="F162" s="3">
        <v>17.25</v>
      </c>
      <c r="G162" s="4">
        <v>18.25</v>
      </c>
      <c r="H162" s="5">
        <v>0</v>
      </c>
      <c r="J162" s="3">
        <v>20.25</v>
      </c>
      <c r="K162" s="4">
        <v>17.25</v>
      </c>
      <c r="L162" s="5">
        <v>0</v>
      </c>
      <c r="N162" s="3">
        <v>20.25</v>
      </c>
      <c r="O162" s="4">
        <v>11.25</v>
      </c>
      <c r="P162" s="5">
        <v>0</v>
      </c>
      <c r="R162" s="3">
        <v>29.25</v>
      </c>
      <c r="S162" s="4">
        <v>18.75</v>
      </c>
      <c r="T162" s="5">
        <v>0</v>
      </c>
      <c r="V162" s="3">
        <v>24.75</v>
      </c>
      <c r="W162" s="4">
        <v>18.75</v>
      </c>
      <c r="X162" s="5">
        <v>0</v>
      </c>
      <c r="Z162" s="3">
        <v>30.75</v>
      </c>
      <c r="AA162" s="4">
        <v>18.75</v>
      </c>
      <c r="AB162" s="5">
        <v>0</v>
      </c>
      <c r="AD162" s="3">
        <v>21.75</v>
      </c>
      <c r="AE162" s="4">
        <v>18.75</v>
      </c>
      <c r="AF162" s="5">
        <v>0</v>
      </c>
      <c r="AH162" s="3">
        <v>18.75</v>
      </c>
      <c r="AI162" s="4">
        <v>9.75</v>
      </c>
      <c r="AJ162" s="5"/>
      <c r="AL162" s="3">
        <v>24.75</v>
      </c>
      <c r="AM162" s="4">
        <v>18.75</v>
      </c>
      <c r="AN162" s="5">
        <v>0</v>
      </c>
    </row>
    <row r="163" spans="1:40" x14ac:dyDescent="0.25">
      <c r="A163" s="21"/>
    </row>
    <row r="164" spans="1:40" x14ac:dyDescent="0.25">
      <c r="A164" s="21"/>
      <c r="B164" s="6">
        <f>SQRT(POWER((B159 - Point1_X),2) + POWER((C159 - Point1_Y),2))</f>
        <v>10.481710261212147</v>
      </c>
      <c r="C164" s="7">
        <f>SQRT(POWER((F159 - Point2_X),2) + POWER((G159 - Point2_Y),2) )</f>
        <v>5.1944813985613614</v>
      </c>
      <c r="D164" s="8">
        <f>SQRT(POWER((J159 - Point3_X),2) + POWER((K159 - Point3_Y),2) )</f>
        <v>6.6599328074688566</v>
      </c>
      <c r="F164" s="6">
        <f>SQRT(POWER((N159 - Point4_X),2) + POWER((O159 - Point4_Y),2) )</f>
        <v>8.9748515865166247</v>
      </c>
      <c r="G164" s="7">
        <f>SQRT(POWER((R159 - Point5_X),2) + POWER((S159 - Point5_Y),2) )</f>
        <v>2.8056794186079062</v>
      </c>
      <c r="H164" s="8">
        <f>SQRT(POWER((V159 - Point6_X),2) + POWER((W159 - Point6_Y),2) )</f>
        <v>1.7906981878585795</v>
      </c>
      <c r="J164" s="6">
        <f>SQRT(POWER((Z159 - Point7_X),2) + POWER((AA159 - Point7_Y),2) )</f>
        <v>4.820544471322715</v>
      </c>
      <c r="K164" s="7">
        <f>SQRT(POWER((AD159 - Point8_X),2) + POWER((AE159 - Point8_Y),2) )</f>
        <v>6.8266961262385202</v>
      </c>
      <c r="L164" s="8">
        <f>SQRT(POWER((AH159 - Point9_X),2) + POWER((AI159 - Point9_Y),2) )</f>
        <v>8.6734754856401128</v>
      </c>
      <c r="N164" s="6">
        <f>SQRT(POWER((AL159 - Point10_X),2) + POWER((AM159 - Point10_Y),2) )</f>
        <v>7.1461817077373562</v>
      </c>
      <c r="O164" s="7">
        <f>SQRT(POWER((B162 - Point11_X),2) + POWER((C162 - Point11_Y),2) )</f>
        <v>10.090989297388042</v>
      </c>
      <c r="P164" s="8">
        <f>SQRT(POWER((F162 - Point12_X),2) + POWER((G162 - Point12_Y),2) )</f>
        <v>1.6856348952249416</v>
      </c>
      <c r="R164" s="6">
        <f>SQRT(POWER((J162 - Point13_X),2) + POWER((K162 - Point13_Y),2) )</f>
        <v>2.9404429938361343</v>
      </c>
      <c r="S164" s="7">
        <f>SQRT(POWER((N162 - Point14_X),2) + POWER((O162 - Point14_Y),2) )</f>
        <v>8.3520920133820375</v>
      </c>
      <c r="T164" s="8">
        <f>SQRT(POWER((R162 - Point15_X),2) + POWER((S162 - Point15_Y),2))</f>
        <v>1.4091575497438178</v>
      </c>
      <c r="V164" s="6">
        <f>SQRT(POWER((V162 - Point16_X),2) + POWER((W162 - Point16_Y),2) )</f>
        <v>2.8464534073123358</v>
      </c>
      <c r="W164" s="7">
        <f>SQRT(POWER((Z162 - Point17_X),2) + POWER((AA162 - Point17_Y),2) )</f>
        <v>3.3639453027657864</v>
      </c>
      <c r="X164" s="8">
        <f>SQRT(POWER((AD162 - Point18_X),2) + POWER((AE162 - Point18_Y),2) )</f>
        <v>9.0727280351611981</v>
      </c>
      <c r="Z164" s="6">
        <f>SQRT(POWER((AH162 - Point19_X),2) + POWER((AI162 - Point19_Y),2) )</f>
        <v>1.4081779006929489</v>
      </c>
      <c r="AA164" s="8">
        <f>SQRT(POWER((AL162 - Point20_X),2) + POWER((AM162 - Point20_Y),2) )</f>
        <v>8.2183240383912839</v>
      </c>
      <c r="AD164" s="9">
        <f>AVERAGE(B164:AA164)</f>
        <v>5.638109844253135</v>
      </c>
      <c r="AE164" s="10">
        <f>_xlfn.STDEV.P(B164:T164)</f>
        <v>3.0494705628168579</v>
      </c>
    </row>
    <row r="165" spans="1:40" ht="9.9499999999999993" customHeight="1" x14ac:dyDescent="0.25"/>
    <row r="168" spans="1:40" ht="9.9499999999999993" customHeight="1" x14ac:dyDescent="0.25"/>
    <row r="170" spans="1:40" ht="30" customHeight="1" x14ac:dyDescent="0.25"/>
    <row r="173" spans="1:40" ht="9.9499999999999993" customHeight="1" x14ac:dyDescent="0.25"/>
    <row r="176" spans="1:40" ht="9.9499999999999993" customHeight="1" x14ac:dyDescent="0.25"/>
    <row r="178" ht="30" customHeight="1" x14ac:dyDescent="0.25"/>
    <row r="179" ht="30" customHeight="1" x14ac:dyDescent="0.25"/>
    <row r="180" ht="30" customHeight="1" x14ac:dyDescent="0.25"/>
    <row r="183" ht="9.9499999999999993" customHeight="1" x14ac:dyDescent="0.25"/>
    <row r="186" ht="9.9499999999999993" customHeight="1" x14ac:dyDescent="0.25"/>
    <row r="188" ht="30" customHeight="1" x14ac:dyDescent="0.25"/>
    <row r="191" ht="9.9499999999999993" customHeight="1" x14ac:dyDescent="0.25"/>
    <row r="194" ht="9.9499999999999993" customHeight="1" x14ac:dyDescent="0.25"/>
    <row r="196" ht="30" customHeight="1" x14ac:dyDescent="0.25"/>
    <row r="199" ht="9.9499999999999993" customHeight="1" x14ac:dyDescent="0.25"/>
    <row r="202" ht="9.9499999999999993" customHeight="1" x14ac:dyDescent="0.25"/>
    <row r="204" ht="30" customHeight="1" x14ac:dyDescent="0.25"/>
    <row r="207" ht="9.9499999999999993" customHeight="1" x14ac:dyDescent="0.25"/>
    <row r="210" ht="9.9499999999999993" customHeight="1" x14ac:dyDescent="0.25"/>
    <row r="212" ht="30" customHeight="1" x14ac:dyDescent="0.25"/>
    <row r="215" ht="9.9499999999999993" customHeight="1" x14ac:dyDescent="0.25"/>
    <row r="218" ht="9.9499999999999993" customHeight="1" x14ac:dyDescent="0.25"/>
    <row r="220" ht="30" customHeight="1" x14ac:dyDescent="0.25"/>
    <row r="223" ht="9.9499999999999993" customHeight="1" x14ac:dyDescent="0.25"/>
    <row r="226" ht="9.9499999999999993" customHeight="1" x14ac:dyDescent="0.25"/>
    <row r="228" ht="30" customHeight="1" x14ac:dyDescent="0.25"/>
    <row r="231" ht="9.9499999999999993" customHeight="1" x14ac:dyDescent="0.25"/>
    <row r="234" ht="9.9499999999999993" customHeight="1" x14ac:dyDescent="0.25"/>
    <row r="236" ht="30" customHeight="1" x14ac:dyDescent="0.25"/>
    <row r="239" ht="9.9499999999999993" customHeight="1" x14ac:dyDescent="0.25"/>
    <row r="242" ht="9.9499999999999993" customHeight="1" x14ac:dyDescent="0.25"/>
    <row r="244" ht="30" customHeight="1" x14ac:dyDescent="0.25"/>
    <row r="247" ht="9.9499999999999993" customHeight="1" x14ac:dyDescent="0.25"/>
    <row r="250" ht="9.9499999999999993" customHeight="1" x14ac:dyDescent="0.25"/>
    <row r="252" ht="30" customHeight="1" x14ac:dyDescent="0.25"/>
    <row r="255" ht="9.9499999999999993" customHeight="1" x14ac:dyDescent="0.25"/>
    <row r="258" ht="9.9499999999999993" customHeight="1" x14ac:dyDescent="0.25"/>
    <row r="260" ht="30" customHeight="1" x14ac:dyDescent="0.25"/>
    <row r="263" ht="9.9499999999999993" customHeight="1" x14ac:dyDescent="0.25"/>
    <row r="266" ht="9.9499999999999993" customHeight="1" x14ac:dyDescent="0.25"/>
    <row r="268" ht="30" customHeight="1" x14ac:dyDescent="0.25"/>
    <row r="271" ht="9.9499999999999993" customHeight="1" x14ac:dyDescent="0.25"/>
    <row r="274" ht="9.9499999999999993" customHeight="1" x14ac:dyDescent="0.25"/>
    <row r="276" ht="30" customHeight="1" x14ac:dyDescent="0.25"/>
    <row r="279" ht="9.9499999999999993" customHeight="1" x14ac:dyDescent="0.25"/>
    <row r="282" ht="9.9499999999999993" customHeight="1" x14ac:dyDescent="0.25"/>
    <row r="284" ht="30" customHeight="1" x14ac:dyDescent="0.25"/>
    <row r="287" ht="9.9499999999999993" customHeight="1" x14ac:dyDescent="0.25"/>
    <row r="290" ht="9.9499999999999993" customHeight="1" x14ac:dyDescent="0.25"/>
    <row r="292" ht="30" customHeight="1" x14ac:dyDescent="0.25"/>
    <row r="295" ht="9.9499999999999993" customHeight="1" x14ac:dyDescent="0.25"/>
    <row r="298" ht="9.9499999999999993" customHeight="1" x14ac:dyDescent="0.25"/>
    <row r="300" ht="30" customHeight="1" x14ac:dyDescent="0.25"/>
  </sheetData>
  <mergeCells count="422">
    <mergeCell ref="A2:A6"/>
    <mergeCell ref="B2:D2"/>
    <mergeCell ref="F2:H2"/>
    <mergeCell ref="J2:L2"/>
    <mergeCell ref="N2:P2"/>
    <mergeCell ref="R2:T2"/>
    <mergeCell ref="V2:X2"/>
    <mergeCell ref="Z2:AB2"/>
    <mergeCell ref="AD2:AF2"/>
    <mergeCell ref="AH2:AJ2"/>
    <mergeCell ref="AL2:AN2"/>
    <mergeCell ref="B5:D5"/>
    <mergeCell ref="F5:H5"/>
    <mergeCell ref="J5:L5"/>
    <mergeCell ref="N5:P5"/>
    <mergeCell ref="R5:T5"/>
    <mergeCell ref="V5:X5"/>
    <mergeCell ref="Z5:AB5"/>
    <mergeCell ref="AD5:AF5"/>
    <mergeCell ref="AH5:AJ5"/>
    <mergeCell ref="AL5:AN5"/>
    <mergeCell ref="B8:AN8"/>
    <mergeCell ref="A10:A16"/>
    <mergeCell ref="B10:D10"/>
    <mergeCell ref="F10:H10"/>
    <mergeCell ref="J10:L10"/>
    <mergeCell ref="N10:P10"/>
    <mergeCell ref="R10:T10"/>
    <mergeCell ref="V10:X10"/>
    <mergeCell ref="Z10:AB10"/>
    <mergeCell ref="AD10:AF10"/>
    <mergeCell ref="AH10:AJ10"/>
    <mergeCell ref="AL10:AN10"/>
    <mergeCell ref="B13:D13"/>
    <mergeCell ref="F13:H13"/>
    <mergeCell ref="J13:L13"/>
    <mergeCell ref="N13:P13"/>
    <mergeCell ref="R13:T13"/>
    <mergeCell ref="V13:X13"/>
    <mergeCell ref="Z13:AB13"/>
    <mergeCell ref="AD13:AF13"/>
    <mergeCell ref="AH13:AJ13"/>
    <mergeCell ref="AL13:AN13"/>
    <mergeCell ref="A18:A24"/>
    <mergeCell ref="B18:D18"/>
    <mergeCell ref="F18:H18"/>
    <mergeCell ref="J18:L18"/>
    <mergeCell ref="N18:P18"/>
    <mergeCell ref="R18:T18"/>
    <mergeCell ref="V18:X18"/>
    <mergeCell ref="Z18:AB18"/>
    <mergeCell ref="AD18:AF18"/>
    <mergeCell ref="AH18:AJ18"/>
    <mergeCell ref="AL18:AN18"/>
    <mergeCell ref="B21:D21"/>
    <mergeCell ref="F21:H21"/>
    <mergeCell ref="J21:L21"/>
    <mergeCell ref="N21:P21"/>
    <mergeCell ref="R21:T21"/>
    <mergeCell ref="V21:X21"/>
    <mergeCell ref="Z21:AB21"/>
    <mergeCell ref="AD21:AF21"/>
    <mergeCell ref="AH21:AJ21"/>
    <mergeCell ref="AL21:AN21"/>
    <mergeCell ref="A26:A32"/>
    <mergeCell ref="B26:D26"/>
    <mergeCell ref="F26:H26"/>
    <mergeCell ref="J26:L26"/>
    <mergeCell ref="N26:P26"/>
    <mergeCell ref="R26:T26"/>
    <mergeCell ref="V26:X26"/>
    <mergeCell ref="Z26:AB26"/>
    <mergeCell ref="AD26:AF26"/>
    <mergeCell ref="AH26:AJ26"/>
    <mergeCell ref="AL26:AN26"/>
    <mergeCell ref="B29:D29"/>
    <mergeCell ref="F29:H29"/>
    <mergeCell ref="J29:L29"/>
    <mergeCell ref="N29:P29"/>
    <mergeCell ref="R29:T29"/>
    <mergeCell ref="V29:X29"/>
    <mergeCell ref="Z29:AB29"/>
    <mergeCell ref="AD29:AF29"/>
    <mergeCell ref="AH29:AJ29"/>
    <mergeCell ref="AL29:AN29"/>
    <mergeCell ref="A34:A40"/>
    <mergeCell ref="B34:D34"/>
    <mergeCell ref="F34:H34"/>
    <mergeCell ref="J34:L34"/>
    <mergeCell ref="N34:P34"/>
    <mergeCell ref="R34:T34"/>
    <mergeCell ref="V34:X34"/>
    <mergeCell ref="Z34:AB34"/>
    <mergeCell ref="AD34:AF34"/>
    <mergeCell ref="AH34:AJ34"/>
    <mergeCell ref="AL34:AN34"/>
    <mergeCell ref="B37:D37"/>
    <mergeCell ref="F37:H37"/>
    <mergeCell ref="J37:L37"/>
    <mergeCell ref="N37:P37"/>
    <mergeCell ref="R37:T37"/>
    <mergeCell ref="V37:X37"/>
    <mergeCell ref="Z37:AB37"/>
    <mergeCell ref="AD37:AF37"/>
    <mergeCell ref="AH37:AJ37"/>
    <mergeCell ref="AL37:AN37"/>
    <mergeCell ref="A42:A48"/>
    <mergeCell ref="B42:D42"/>
    <mergeCell ref="F42:H42"/>
    <mergeCell ref="J42:L42"/>
    <mergeCell ref="N42:P42"/>
    <mergeCell ref="R42:T42"/>
    <mergeCell ref="V42:X42"/>
    <mergeCell ref="Z42:AB42"/>
    <mergeCell ref="AD42:AF42"/>
    <mergeCell ref="AH42:AJ42"/>
    <mergeCell ref="AL42:AN42"/>
    <mergeCell ref="B45:D45"/>
    <mergeCell ref="F45:H45"/>
    <mergeCell ref="J45:L45"/>
    <mergeCell ref="N45:P45"/>
    <mergeCell ref="R45:T45"/>
    <mergeCell ref="V45:X45"/>
    <mergeCell ref="Z45:AB45"/>
    <mergeCell ref="AD45:AF45"/>
    <mergeCell ref="AH45:AJ45"/>
    <mergeCell ref="AL45:AN45"/>
    <mergeCell ref="A50:A56"/>
    <mergeCell ref="B50:D50"/>
    <mergeCell ref="F50:H50"/>
    <mergeCell ref="J50:L50"/>
    <mergeCell ref="N50:P50"/>
    <mergeCell ref="R50:T50"/>
    <mergeCell ref="V50:X50"/>
    <mergeCell ref="Z50:AB50"/>
    <mergeCell ref="AD50:AF50"/>
    <mergeCell ref="AH50:AJ50"/>
    <mergeCell ref="AL50:AN50"/>
    <mergeCell ref="B53:D53"/>
    <mergeCell ref="F53:H53"/>
    <mergeCell ref="J53:L53"/>
    <mergeCell ref="N53:P53"/>
    <mergeCell ref="R53:T53"/>
    <mergeCell ref="V53:X53"/>
    <mergeCell ref="Z53:AB53"/>
    <mergeCell ref="AD53:AF53"/>
    <mergeCell ref="AH53:AJ53"/>
    <mergeCell ref="AL53:AN53"/>
    <mergeCell ref="A58:A64"/>
    <mergeCell ref="B58:D58"/>
    <mergeCell ref="F58:H58"/>
    <mergeCell ref="J58:L58"/>
    <mergeCell ref="N58:P58"/>
    <mergeCell ref="R58:T58"/>
    <mergeCell ref="V58:X58"/>
    <mergeCell ref="Z58:AB58"/>
    <mergeCell ref="AD58:AF58"/>
    <mergeCell ref="AH58:AJ58"/>
    <mergeCell ref="AL58:AN58"/>
    <mergeCell ref="B61:D61"/>
    <mergeCell ref="F61:H61"/>
    <mergeCell ref="J61:L61"/>
    <mergeCell ref="N61:P61"/>
    <mergeCell ref="R61:T61"/>
    <mergeCell ref="V61:X61"/>
    <mergeCell ref="Z61:AB61"/>
    <mergeCell ref="AD61:AF61"/>
    <mergeCell ref="AH61:AJ61"/>
    <mergeCell ref="AL61:AN61"/>
    <mergeCell ref="A66:A72"/>
    <mergeCell ref="B66:D66"/>
    <mergeCell ref="F66:H66"/>
    <mergeCell ref="J66:L66"/>
    <mergeCell ref="N66:P66"/>
    <mergeCell ref="R66:T66"/>
    <mergeCell ref="V66:X66"/>
    <mergeCell ref="Z66:AB66"/>
    <mergeCell ref="AD66:AF66"/>
    <mergeCell ref="AH66:AJ66"/>
    <mergeCell ref="AL66:AN66"/>
    <mergeCell ref="B69:D69"/>
    <mergeCell ref="F69:H69"/>
    <mergeCell ref="J69:L69"/>
    <mergeCell ref="N69:P69"/>
    <mergeCell ref="R69:T69"/>
    <mergeCell ref="V69:X69"/>
    <mergeCell ref="Z69:AB69"/>
    <mergeCell ref="AD69:AF69"/>
    <mergeCell ref="AH69:AJ69"/>
    <mergeCell ref="AL69:AN69"/>
    <mergeCell ref="A74:A80"/>
    <mergeCell ref="B74:D74"/>
    <mergeCell ref="F74:H74"/>
    <mergeCell ref="J74:L74"/>
    <mergeCell ref="N74:P74"/>
    <mergeCell ref="R74:T74"/>
    <mergeCell ref="V74:X74"/>
    <mergeCell ref="Z74:AB74"/>
    <mergeCell ref="AD74:AF74"/>
    <mergeCell ref="AH74:AJ74"/>
    <mergeCell ref="AL74:AN74"/>
    <mergeCell ref="B77:D77"/>
    <mergeCell ref="F77:H77"/>
    <mergeCell ref="J77:L77"/>
    <mergeCell ref="N77:P77"/>
    <mergeCell ref="R77:T77"/>
    <mergeCell ref="V77:X77"/>
    <mergeCell ref="Z77:AB77"/>
    <mergeCell ref="AD77:AF77"/>
    <mergeCell ref="AH77:AJ77"/>
    <mergeCell ref="AL77:AN77"/>
    <mergeCell ref="A82:A88"/>
    <mergeCell ref="B82:D82"/>
    <mergeCell ref="F82:H82"/>
    <mergeCell ref="J82:L82"/>
    <mergeCell ref="N82:P82"/>
    <mergeCell ref="R82:T82"/>
    <mergeCell ref="V82:X82"/>
    <mergeCell ref="Z82:AB82"/>
    <mergeCell ref="AD82:AF82"/>
    <mergeCell ref="AH82:AJ82"/>
    <mergeCell ref="AL82:AN82"/>
    <mergeCell ref="B85:D85"/>
    <mergeCell ref="F85:H85"/>
    <mergeCell ref="J85:L85"/>
    <mergeCell ref="N85:P85"/>
    <mergeCell ref="R85:T85"/>
    <mergeCell ref="V85:X85"/>
    <mergeCell ref="Z85:AB85"/>
    <mergeCell ref="AD85:AF85"/>
    <mergeCell ref="AH85:AJ85"/>
    <mergeCell ref="AL85:AN85"/>
    <mergeCell ref="B92:AN92"/>
    <mergeCell ref="A94:A100"/>
    <mergeCell ref="B94:D94"/>
    <mergeCell ref="F94:H94"/>
    <mergeCell ref="J94:L94"/>
    <mergeCell ref="N94:P94"/>
    <mergeCell ref="R94:T94"/>
    <mergeCell ref="V94:X94"/>
    <mergeCell ref="Z94:AB94"/>
    <mergeCell ref="AD94:AF94"/>
    <mergeCell ref="AH94:AJ94"/>
    <mergeCell ref="AL94:AN94"/>
    <mergeCell ref="B97:D97"/>
    <mergeCell ref="F97:H97"/>
    <mergeCell ref="J97:L97"/>
    <mergeCell ref="N97:P97"/>
    <mergeCell ref="R97:T97"/>
    <mergeCell ref="V97:X97"/>
    <mergeCell ref="Z97:AB97"/>
    <mergeCell ref="AD97:AF97"/>
    <mergeCell ref="AH97:AJ97"/>
    <mergeCell ref="AL97:AN97"/>
    <mergeCell ref="A102:A108"/>
    <mergeCell ref="B102:D102"/>
    <mergeCell ref="F102:H102"/>
    <mergeCell ref="J102:L102"/>
    <mergeCell ref="N102:P102"/>
    <mergeCell ref="R102:T102"/>
    <mergeCell ref="V102:X102"/>
    <mergeCell ref="Z102:AB102"/>
    <mergeCell ref="AD102:AF102"/>
    <mergeCell ref="AH102:AJ102"/>
    <mergeCell ref="AL102:AN102"/>
    <mergeCell ref="B105:D105"/>
    <mergeCell ref="F105:H105"/>
    <mergeCell ref="J105:L105"/>
    <mergeCell ref="N105:P105"/>
    <mergeCell ref="R105:T105"/>
    <mergeCell ref="V105:X105"/>
    <mergeCell ref="Z105:AB105"/>
    <mergeCell ref="AD105:AF105"/>
    <mergeCell ref="AH105:AJ105"/>
    <mergeCell ref="AL105:AN105"/>
    <mergeCell ref="A110:A116"/>
    <mergeCell ref="B110:D110"/>
    <mergeCell ref="F110:H110"/>
    <mergeCell ref="J110:L110"/>
    <mergeCell ref="N110:P110"/>
    <mergeCell ref="R110:T110"/>
    <mergeCell ref="V110:X110"/>
    <mergeCell ref="Z110:AB110"/>
    <mergeCell ref="AD110:AF110"/>
    <mergeCell ref="AH110:AJ110"/>
    <mergeCell ref="AL110:AN110"/>
    <mergeCell ref="B113:D113"/>
    <mergeCell ref="F113:H113"/>
    <mergeCell ref="J113:L113"/>
    <mergeCell ref="N113:P113"/>
    <mergeCell ref="R113:T113"/>
    <mergeCell ref="V113:X113"/>
    <mergeCell ref="Z113:AB113"/>
    <mergeCell ref="AD113:AF113"/>
    <mergeCell ref="AH113:AJ113"/>
    <mergeCell ref="AL113:AN113"/>
    <mergeCell ref="A118:A124"/>
    <mergeCell ref="B118:D118"/>
    <mergeCell ref="F118:H118"/>
    <mergeCell ref="J118:L118"/>
    <mergeCell ref="N118:P118"/>
    <mergeCell ref="R118:T118"/>
    <mergeCell ref="V118:X118"/>
    <mergeCell ref="Z118:AB118"/>
    <mergeCell ref="AD118:AF118"/>
    <mergeCell ref="AH118:AJ118"/>
    <mergeCell ref="AL118:AN118"/>
    <mergeCell ref="B121:D121"/>
    <mergeCell ref="F121:H121"/>
    <mergeCell ref="J121:L121"/>
    <mergeCell ref="N121:P121"/>
    <mergeCell ref="R121:T121"/>
    <mergeCell ref="V121:X121"/>
    <mergeCell ref="Z121:AB121"/>
    <mergeCell ref="AD121:AF121"/>
    <mergeCell ref="AH121:AJ121"/>
    <mergeCell ref="AL121:AN121"/>
    <mergeCell ref="A126:A132"/>
    <mergeCell ref="B126:D126"/>
    <mergeCell ref="F126:H126"/>
    <mergeCell ref="J126:L126"/>
    <mergeCell ref="N126:P126"/>
    <mergeCell ref="R126:T126"/>
    <mergeCell ref="V126:X126"/>
    <mergeCell ref="Z126:AB126"/>
    <mergeCell ref="AD126:AF126"/>
    <mergeCell ref="AH126:AJ126"/>
    <mergeCell ref="AL126:AN126"/>
    <mergeCell ref="B129:D129"/>
    <mergeCell ref="F129:H129"/>
    <mergeCell ref="J129:L129"/>
    <mergeCell ref="N129:P129"/>
    <mergeCell ref="R129:T129"/>
    <mergeCell ref="V129:X129"/>
    <mergeCell ref="Z129:AB129"/>
    <mergeCell ref="AD129:AF129"/>
    <mergeCell ref="AH129:AJ129"/>
    <mergeCell ref="AL129:AN129"/>
    <mergeCell ref="A134:A140"/>
    <mergeCell ref="B134:D134"/>
    <mergeCell ref="F134:H134"/>
    <mergeCell ref="J134:L134"/>
    <mergeCell ref="N134:P134"/>
    <mergeCell ref="R134:T134"/>
    <mergeCell ref="V134:X134"/>
    <mergeCell ref="Z134:AB134"/>
    <mergeCell ref="AD134:AF134"/>
    <mergeCell ref="AH134:AJ134"/>
    <mergeCell ref="AL134:AN134"/>
    <mergeCell ref="B137:D137"/>
    <mergeCell ref="F137:H137"/>
    <mergeCell ref="J137:L137"/>
    <mergeCell ref="N137:P137"/>
    <mergeCell ref="R137:T137"/>
    <mergeCell ref="V137:X137"/>
    <mergeCell ref="Z137:AB137"/>
    <mergeCell ref="AD137:AF137"/>
    <mergeCell ref="AH137:AJ137"/>
    <mergeCell ref="AL137:AN137"/>
    <mergeCell ref="A142:A148"/>
    <mergeCell ref="B142:D142"/>
    <mergeCell ref="F142:H142"/>
    <mergeCell ref="J142:L142"/>
    <mergeCell ref="N142:P142"/>
    <mergeCell ref="R142:T142"/>
    <mergeCell ref="V142:X142"/>
    <mergeCell ref="Z142:AB142"/>
    <mergeCell ref="AD142:AF142"/>
    <mergeCell ref="AH142:AJ142"/>
    <mergeCell ref="AL142:AN142"/>
    <mergeCell ref="B145:D145"/>
    <mergeCell ref="F145:H145"/>
    <mergeCell ref="J145:L145"/>
    <mergeCell ref="N145:P145"/>
    <mergeCell ref="R145:T145"/>
    <mergeCell ref="V145:X145"/>
    <mergeCell ref="Z145:AB145"/>
    <mergeCell ref="AD145:AF145"/>
    <mergeCell ref="AH145:AJ145"/>
    <mergeCell ref="AL145:AN145"/>
    <mergeCell ref="A150:A156"/>
    <mergeCell ref="B150:D150"/>
    <mergeCell ref="F150:H150"/>
    <mergeCell ref="J150:L150"/>
    <mergeCell ref="N150:P150"/>
    <mergeCell ref="R150:T150"/>
    <mergeCell ref="V150:X150"/>
    <mergeCell ref="Z150:AB150"/>
    <mergeCell ref="AD150:AF150"/>
    <mergeCell ref="AH150:AJ150"/>
    <mergeCell ref="AL150:AN150"/>
    <mergeCell ref="B153:D153"/>
    <mergeCell ref="F153:H153"/>
    <mergeCell ref="J153:L153"/>
    <mergeCell ref="N153:P153"/>
    <mergeCell ref="R153:T153"/>
    <mergeCell ref="V153:X153"/>
    <mergeCell ref="Z153:AB153"/>
    <mergeCell ref="AD153:AF153"/>
    <mergeCell ref="AH153:AJ153"/>
    <mergeCell ref="AL153:AN153"/>
    <mergeCell ref="A158:A164"/>
    <mergeCell ref="B158:D158"/>
    <mergeCell ref="F158:H158"/>
    <mergeCell ref="J158:L158"/>
    <mergeCell ref="N158:P158"/>
    <mergeCell ref="R158:T158"/>
    <mergeCell ref="V158:X158"/>
    <mergeCell ref="Z158:AB158"/>
    <mergeCell ref="AD158:AF158"/>
    <mergeCell ref="AH158:AJ158"/>
    <mergeCell ref="AL158:AN158"/>
    <mergeCell ref="B161:D161"/>
    <mergeCell ref="F161:H161"/>
    <mergeCell ref="J161:L161"/>
    <mergeCell ref="N161:P161"/>
    <mergeCell ref="R161:T161"/>
    <mergeCell ref="V161:X161"/>
    <mergeCell ref="Z161:AB161"/>
    <mergeCell ref="AD161:AF161"/>
    <mergeCell ref="AH161:AJ161"/>
    <mergeCell ref="AL161:AN161"/>
  </mergeCells>
  <pageMargins left="0.7" right="0.7" top="0.75" bottom="0.75" header="0.51180555555555496" footer="0.51180555555555496"/>
  <pageSetup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61</vt:i4>
      </vt:variant>
    </vt:vector>
  </HeadingPairs>
  <TitlesOfParts>
    <vt:vector size="62" baseType="lpstr">
      <vt:lpstr>Team Results</vt:lpstr>
      <vt:lpstr>Point1_X</vt:lpstr>
      <vt:lpstr>Point1_Y</vt:lpstr>
      <vt:lpstr>Point1_Z</vt:lpstr>
      <vt:lpstr>Point10_X</vt:lpstr>
      <vt:lpstr>Point10_Y</vt:lpstr>
      <vt:lpstr>Point10_Z</vt:lpstr>
      <vt:lpstr>Point11_X</vt:lpstr>
      <vt:lpstr>Point11_Y</vt:lpstr>
      <vt:lpstr>Point11_Z</vt:lpstr>
      <vt:lpstr>Point12_X</vt:lpstr>
      <vt:lpstr>Point12_Y</vt:lpstr>
      <vt:lpstr>Point12_Z</vt:lpstr>
      <vt:lpstr>Point12_Zcorrect</vt:lpstr>
      <vt:lpstr>Point13_X</vt:lpstr>
      <vt:lpstr>Point13_Y</vt:lpstr>
      <vt:lpstr>Point13_Z</vt:lpstr>
      <vt:lpstr>Point14_X</vt:lpstr>
      <vt:lpstr>Point14_Y</vt:lpstr>
      <vt:lpstr>Point14_Z</vt:lpstr>
      <vt:lpstr>Point15_X</vt:lpstr>
      <vt:lpstr>Point15_Y</vt:lpstr>
      <vt:lpstr>Point15_Z</vt:lpstr>
      <vt:lpstr>Point16_X</vt:lpstr>
      <vt:lpstr>Point16_Y</vt:lpstr>
      <vt:lpstr>Point16_Z</vt:lpstr>
      <vt:lpstr>Point17_X</vt:lpstr>
      <vt:lpstr>Point17_Y</vt:lpstr>
      <vt:lpstr>Point17_Z</vt:lpstr>
      <vt:lpstr>Point18_X</vt:lpstr>
      <vt:lpstr>Point18_Y</vt:lpstr>
      <vt:lpstr>Point18_Z</vt:lpstr>
      <vt:lpstr>Point19_X</vt:lpstr>
      <vt:lpstr>Point19_Y</vt:lpstr>
      <vt:lpstr>Point19_Z</vt:lpstr>
      <vt:lpstr>Point2_X</vt:lpstr>
      <vt:lpstr>Point2_Y</vt:lpstr>
      <vt:lpstr>Point2_Z</vt:lpstr>
      <vt:lpstr>Point20_X</vt:lpstr>
      <vt:lpstr>Point20_Y</vt:lpstr>
      <vt:lpstr>Point20_Z</vt:lpstr>
      <vt:lpstr>Point3_X</vt:lpstr>
      <vt:lpstr>Point3_Y</vt:lpstr>
      <vt:lpstr>Point3_Z</vt:lpstr>
      <vt:lpstr>Point4_X</vt:lpstr>
      <vt:lpstr>Point4_Y</vt:lpstr>
      <vt:lpstr>Point4_Z</vt:lpstr>
      <vt:lpstr>Point5_X</vt:lpstr>
      <vt:lpstr>Point5_Y</vt:lpstr>
      <vt:lpstr>Point5_Z</vt:lpstr>
      <vt:lpstr>Point6_X</vt:lpstr>
      <vt:lpstr>Point6_Y</vt:lpstr>
      <vt:lpstr>Point6_Z</vt:lpstr>
      <vt:lpstr>Point7_X</vt:lpstr>
      <vt:lpstr>Point7_Y</vt:lpstr>
      <vt:lpstr>Point7_Z</vt:lpstr>
      <vt:lpstr>Point8_X</vt:lpstr>
      <vt:lpstr>Point8_Y</vt:lpstr>
      <vt:lpstr>Point8_Z</vt:lpstr>
      <vt:lpstr>Point9_X</vt:lpstr>
      <vt:lpstr>Point9_Y</vt:lpstr>
      <vt:lpstr>Point9_Z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Dimitrios Lymberopoulos</dc:creator>
  <dc:description/>
  <cp:lastModifiedBy>Dimitrios Lymberopoulos</cp:lastModifiedBy>
  <cp:revision>37</cp:revision>
  <dcterms:created xsi:type="dcterms:W3CDTF">2016-04-05T22:42:42Z</dcterms:created>
  <dcterms:modified xsi:type="dcterms:W3CDTF">2017-04-25T16:39:53Z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